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650" firstSheet="1" activeTab="1"/>
  </bookViews>
  <sheets>
    <sheet name="P. ACCIÓN A 30 NOV DE 2021" sheetId="1" r:id="rId1"/>
    <sheet name="P. ACCIÓN CONSOL 30 NOV DE 20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0">'P. ACCIÓN A 30 NOV DE 2021'!$C:$F,'P. ACCIÓN A 30 NOV DE 2021'!$3:$5</definedName>
    <definedName name="_xlnm.Print_Titles" localSheetId="1">'P. ACCIÓN CONSOL 30 NOV DE 2021'!$C:$F,'P. ACCIÓN CONSOL 30 NOV DE 2021'!$3:$5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F204" i="2" l="1"/>
  <c r="BF199" i="2"/>
  <c r="AH203" i="2"/>
  <c r="BF203" i="2" s="1"/>
  <c r="AH202" i="2"/>
  <c r="BF202" i="2" s="1"/>
  <c r="AH201" i="2"/>
  <c r="AH200" i="2"/>
  <c r="BF200" i="2" s="1"/>
  <c r="AH199" i="2"/>
  <c r="AG204" i="2"/>
  <c r="AG203" i="2"/>
  <c r="AG202" i="2"/>
  <c r="AG201" i="2"/>
  <c r="AG200" i="2"/>
  <c r="AG199" i="2"/>
  <c r="BG204" i="2"/>
  <c r="BD204" i="2"/>
  <c r="BC204" i="2"/>
  <c r="BB204" i="2"/>
  <c r="BA204" i="2"/>
  <c r="AZ204" i="2"/>
  <c r="AY204" i="2"/>
  <c r="AX204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H204" i="2"/>
  <c r="BG203" i="2"/>
  <c r="BE203" i="2"/>
  <c r="J203" i="2"/>
  <c r="AF203" i="2" s="1"/>
  <c r="BG202" i="2"/>
  <c r="BE202" i="2"/>
  <c r="AF202" i="2"/>
  <c r="J202" i="2"/>
  <c r="BG201" i="2"/>
  <c r="BE201" i="2"/>
  <c r="J201" i="2"/>
  <c r="AF201" i="2" s="1"/>
  <c r="BG200" i="2"/>
  <c r="BE200" i="2"/>
  <c r="AF200" i="2"/>
  <c r="J200" i="2"/>
  <c r="BG199" i="2"/>
  <c r="J199" i="2"/>
  <c r="J204" i="2" s="1"/>
  <c r="BF201" i="2" l="1"/>
  <c r="AH204" i="2"/>
  <c r="BE199" i="2"/>
  <c r="BE204" i="2" s="1"/>
  <c r="AF199" i="2"/>
  <c r="AF204" i="2" s="1"/>
  <c r="EF25" i="2" l="1"/>
  <c r="EF27" i="2"/>
  <c r="EF28" i="2"/>
  <c r="EF29" i="2"/>
  <c r="EF30" i="2"/>
  <c r="EF31" i="2"/>
  <c r="EF32" i="2"/>
  <c r="EF33" i="2"/>
  <c r="EF34" i="2"/>
  <c r="EF35" i="2"/>
  <c r="EF37" i="2"/>
  <c r="EF38" i="2"/>
  <c r="EF42" i="2"/>
  <c r="EF45" i="2"/>
  <c r="EF47" i="2"/>
  <c r="EF48" i="2"/>
  <c r="EF49" i="2"/>
  <c r="EF54" i="2"/>
  <c r="EF55" i="2"/>
  <c r="EF60" i="2"/>
  <c r="EF64" i="2"/>
  <c r="EF65" i="2"/>
  <c r="EF66" i="2"/>
  <c r="EF67" i="2"/>
  <c r="EF69" i="2"/>
  <c r="EF70" i="2"/>
  <c r="EF73" i="2"/>
  <c r="EF74" i="2"/>
  <c r="EF76" i="2"/>
  <c r="EF79" i="2"/>
  <c r="EF81" i="2"/>
  <c r="EF82" i="2"/>
  <c r="EF86" i="2"/>
  <c r="EF87" i="2"/>
  <c r="EF88" i="2"/>
  <c r="EF92" i="2"/>
  <c r="EF94" i="2"/>
  <c r="EF95" i="2"/>
  <c r="EF96" i="2"/>
  <c r="EF99" i="2"/>
  <c r="EF101" i="2"/>
  <c r="EF102" i="2"/>
  <c r="EF103" i="2"/>
  <c r="EF104" i="2"/>
  <c r="EF105" i="2"/>
  <c r="EF108" i="2"/>
  <c r="EF109" i="2"/>
  <c r="EF110" i="2"/>
  <c r="EF111" i="2"/>
  <c r="EF112" i="2"/>
  <c r="EF128" i="2"/>
  <c r="EE131" i="2"/>
  <c r="EE25" i="2"/>
  <c r="EE26" i="2"/>
  <c r="EE27" i="2"/>
  <c r="EE28" i="2"/>
  <c r="EE29" i="2"/>
  <c r="EE30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5" i="2"/>
  <c r="EE46" i="2"/>
  <c r="EE47" i="2"/>
  <c r="EE48" i="2"/>
  <c r="EE49" i="2"/>
  <c r="EE50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24" i="2"/>
  <c r="EE129" i="2"/>
  <c r="EE128" i="2"/>
  <c r="EE127" i="2"/>
  <c r="EE126" i="2"/>
  <c r="EE125" i="2"/>
  <c r="EE124" i="2"/>
  <c r="EE123" i="2"/>
  <c r="EE122" i="2"/>
  <c r="EE121" i="2"/>
  <c r="EE120" i="2"/>
  <c r="EE119" i="2"/>
  <c r="EE118" i="2"/>
  <c r="EE117" i="2"/>
  <c r="EE116" i="2"/>
  <c r="EE115" i="2"/>
  <c r="EE114" i="2"/>
  <c r="EE113" i="2"/>
  <c r="EE112" i="2"/>
  <c r="EE111" i="2"/>
  <c r="EE110" i="2"/>
  <c r="EE109" i="2"/>
  <c r="EE108" i="2"/>
  <c r="EE107" i="2"/>
  <c r="EE106" i="2"/>
  <c r="EE105" i="2"/>
  <c r="EE104" i="2"/>
  <c r="EE103" i="2"/>
  <c r="EE102" i="2"/>
  <c r="EE101" i="2"/>
  <c r="EE100" i="2"/>
  <c r="EE99" i="2"/>
  <c r="EE98" i="2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M139" i="2"/>
  <c r="AL139" i="2"/>
  <c r="AK139" i="2"/>
  <c r="AI139" i="2"/>
  <c r="AE139" i="2"/>
  <c r="AC139" i="2"/>
  <c r="Z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B138" i="2"/>
  <c r="DA138" i="2"/>
  <c r="CZ138" i="2"/>
  <c r="CV138" i="2"/>
  <c r="CU138" i="2"/>
  <c r="CT138" i="2"/>
  <c r="CS138" i="2"/>
  <c r="CQ138" i="2"/>
  <c r="CP138" i="2"/>
  <c r="CO138" i="2"/>
  <c r="CN138" i="2"/>
  <c r="CM138" i="2"/>
  <c r="CL138" i="2"/>
  <c r="CK138" i="2"/>
  <c r="CJ138" i="2"/>
  <c r="CI138" i="2"/>
  <c r="CG138" i="2"/>
  <c r="BC138" i="2"/>
  <c r="BB138" i="2"/>
  <c r="AX138" i="2"/>
  <c r="AW138" i="2"/>
  <c r="AV138" i="2"/>
  <c r="AU138" i="2"/>
  <c r="AS138" i="2"/>
  <c r="AR138" i="2"/>
  <c r="AQ138" i="2"/>
  <c r="AP138" i="2"/>
  <c r="AO138" i="2"/>
  <c r="AN138" i="2"/>
  <c r="AM138" i="2"/>
  <c r="AK138" i="2"/>
  <c r="AI138" i="2"/>
  <c r="AC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W137" i="2"/>
  <c r="CT137" i="2"/>
  <c r="CS137" i="2"/>
  <c r="CR137" i="2"/>
  <c r="CM137" i="2"/>
  <c r="CL137" i="2"/>
  <c r="CK137" i="2"/>
  <c r="CJ137" i="2"/>
  <c r="CI137" i="2"/>
  <c r="CG137" i="2"/>
  <c r="BD137" i="2"/>
  <c r="BB137" i="2"/>
  <c r="AY137" i="2"/>
  <c r="AV137" i="2"/>
  <c r="AU137" i="2"/>
  <c r="AO137" i="2"/>
  <c r="AN137" i="2"/>
  <c r="AM137" i="2"/>
  <c r="AL137" i="2"/>
  <c r="AK137" i="2"/>
  <c r="AI137" i="2"/>
  <c r="AE137" i="2"/>
  <c r="AC137" i="2"/>
  <c r="AB137" i="2"/>
  <c r="Z137" i="2"/>
  <c r="W137" i="2"/>
  <c r="V137" i="2"/>
  <c r="T137" i="2"/>
  <c r="P137" i="2"/>
  <c r="O137" i="2"/>
  <c r="N137" i="2"/>
  <c r="M137" i="2"/>
  <c r="L137" i="2"/>
  <c r="J137" i="2"/>
  <c r="DB136" i="2"/>
  <c r="DA136" i="2"/>
  <c r="CZ136" i="2"/>
  <c r="CY136" i="2"/>
  <c r="CX136" i="2"/>
  <c r="CV136" i="2"/>
  <c r="CU136" i="2"/>
  <c r="CT136" i="2"/>
  <c r="CS136" i="2"/>
  <c r="CQ136" i="2"/>
  <c r="CP136" i="2"/>
  <c r="CO136" i="2"/>
  <c r="CN136" i="2"/>
  <c r="CM136" i="2"/>
  <c r="CL136" i="2"/>
  <c r="CK136" i="2"/>
  <c r="CI136" i="2"/>
  <c r="CG136" i="2"/>
  <c r="BD136" i="2"/>
  <c r="BC136" i="2"/>
  <c r="BB136" i="2"/>
  <c r="BA136" i="2"/>
  <c r="AZ136" i="2"/>
  <c r="AX136" i="2"/>
  <c r="AW136" i="2"/>
  <c r="AV136" i="2"/>
  <c r="AU136" i="2"/>
  <c r="AS136" i="2"/>
  <c r="AR136" i="2"/>
  <c r="AQ136" i="2"/>
  <c r="AP136" i="2"/>
  <c r="AO136" i="2"/>
  <c r="AN136" i="2"/>
  <c r="AM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L136" i="2"/>
  <c r="J136" i="2"/>
  <c r="DB135" i="2"/>
  <c r="DA135" i="2"/>
  <c r="CY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BD135" i="2"/>
  <c r="BC135" i="2"/>
  <c r="BA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E135" i="2"/>
  <c r="AB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L135" i="2"/>
  <c r="K135" i="2"/>
  <c r="DA134" i="2"/>
  <c r="CZ134" i="2"/>
  <c r="CW134" i="2"/>
  <c r="CV134" i="2"/>
  <c r="CU134" i="2"/>
  <c r="CT134" i="2"/>
  <c r="CS134" i="2"/>
  <c r="CQ134" i="2"/>
  <c r="CP134" i="2"/>
  <c r="CO134" i="2"/>
  <c r="CN134" i="2"/>
  <c r="CL134" i="2"/>
  <c r="CK134" i="2"/>
  <c r="CI134" i="2"/>
  <c r="CG134" i="2"/>
  <c r="BC134" i="2"/>
  <c r="AY134" i="2"/>
  <c r="AX134" i="2"/>
  <c r="AV134" i="2"/>
  <c r="AS134" i="2"/>
  <c r="AQ134" i="2"/>
  <c r="AP134" i="2"/>
  <c r="AN134" i="2"/>
  <c r="AM134" i="2"/>
  <c r="AK134" i="2"/>
  <c r="AB134" i="2"/>
  <c r="Z134" i="2"/>
  <c r="Y134" i="2"/>
  <c r="X134" i="2"/>
  <c r="W134" i="2"/>
  <c r="V134" i="2"/>
  <c r="T134" i="2"/>
  <c r="R134" i="2"/>
  <c r="P134" i="2"/>
  <c r="O134" i="2"/>
  <c r="N134" i="2"/>
  <c r="L134" i="2"/>
  <c r="DB133" i="2"/>
  <c r="DA133" i="2"/>
  <c r="CZ133" i="2"/>
  <c r="CY133" i="2"/>
  <c r="CW133" i="2"/>
  <c r="CV133" i="2"/>
  <c r="CU133" i="2"/>
  <c r="CS133" i="2"/>
  <c r="CR133" i="2"/>
  <c r="CQ133" i="2"/>
  <c r="CP133" i="2"/>
  <c r="CO133" i="2"/>
  <c r="CN133" i="2"/>
  <c r="CM133" i="2"/>
  <c r="CL133" i="2"/>
  <c r="CI133" i="2"/>
  <c r="CH133" i="2"/>
  <c r="BC133" i="2"/>
  <c r="BB133" i="2"/>
  <c r="BA133" i="2"/>
  <c r="AY133" i="2"/>
  <c r="AX133" i="2"/>
  <c r="AU133" i="2"/>
  <c r="AT133" i="2"/>
  <c r="AR133" i="2"/>
  <c r="AQ133" i="2"/>
  <c r="AP133" i="2"/>
  <c r="AO133" i="2"/>
  <c r="AN133" i="2"/>
  <c r="AK133" i="2"/>
  <c r="AD133" i="2"/>
  <c r="AC133" i="2"/>
  <c r="AB133" i="2"/>
  <c r="AA133" i="2"/>
  <c r="Z133" i="2"/>
  <c r="Y133" i="2"/>
  <c r="X133" i="2"/>
  <c r="W133" i="2"/>
  <c r="U133" i="2"/>
  <c r="T133" i="2"/>
  <c r="Q133" i="2"/>
  <c r="P133" i="2"/>
  <c r="O133" i="2"/>
  <c r="N133" i="2"/>
  <c r="L133" i="2"/>
  <c r="J133" i="2"/>
  <c r="DA129" i="2"/>
  <c r="CZ129" i="2"/>
  <c r="CW129" i="2"/>
  <c r="CV129" i="2"/>
  <c r="CU129" i="2"/>
  <c r="CS129" i="2"/>
  <c r="CQ129" i="2"/>
  <c r="CP129" i="2"/>
  <c r="CO129" i="2"/>
  <c r="CN129" i="2"/>
  <c r="CL129" i="2"/>
  <c r="CI129" i="2"/>
  <c r="BC129" i="2"/>
  <c r="AY129" i="2"/>
  <c r="AX129" i="2"/>
  <c r="AQ129" i="2"/>
  <c r="AP129" i="2"/>
  <c r="AN129" i="2"/>
  <c r="AK129" i="2"/>
  <c r="AD129" i="2"/>
  <c r="AB129" i="2"/>
  <c r="Z129" i="2"/>
  <c r="Y129" i="2"/>
  <c r="X129" i="2"/>
  <c r="W129" i="2"/>
  <c r="T129" i="2"/>
  <c r="S129" i="2"/>
  <c r="P129" i="2"/>
  <c r="O129" i="2"/>
  <c r="N129" i="2"/>
  <c r="L129" i="2"/>
  <c r="H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DC128" i="2"/>
  <c r="CH128" i="2"/>
  <c r="CF128" i="2" s="1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AJ128" i="2"/>
  <c r="AH128" i="2" s="1"/>
  <c r="AF128" i="2"/>
  <c r="K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AG127" i="2" s="1"/>
  <c r="BF127" i="2" s="1"/>
  <c r="K127" i="2"/>
  <c r="I127" i="2"/>
  <c r="G127" i="2"/>
  <c r="EB126" i="2"/>
  <c r="EA126" i="2"/>
  <c r="DZ126" i="2"/>
  <c r="DY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Y126" i="2"/>
  <c r="CX126" i="2"/>
  <c r="CH126" i="2"/>
  <c r="CD126" i="2"/>
  <c r="CC126" i="2"/>
  <c r="CB126" i="2"/>
  <c r="CA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BA126" i="2"/>
  <c r="BZ126" i="2" s="1"/>
  <c r="AZ126" i="2"/>
  <c r="BY126" i="2" s="1"/>
  <c r="AJ126" i="2"/>
  <c r="BI126" i="2" s="1"/>
  <c r="AB126" i="2"/>
  <c r="AA126" i="2"/>
  <c r="DW126" i="2" s="1"/>
  <c r="I126" i="2"/>
  <c r="G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DC125" i="2"/>
  <c r="CH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BE125" i="2"/>
  <c r="AJ125" i="2"/>
  <c r="BI125" i="2" s="1"/>
  <c r="AF125" i="2"/>
  <c r="K125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Y124" i="2"/>
  <c r="CH124" i="2"/>
  <c r="DG124" i="2" s="1"/>
  <c r="CD124" i="2"/>
  <c r="CC124" i="2"/>
  <c r="CB124" i="2"/>
  <c r="CA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BA124" i="2"/>
  <c r="BZ124" i="2" s="1"/>
  <c r="AJ124" i="2"/>
  <c r="BI124" i="2" s="1"/>
  <c r="AB124" i="2"/>
  <c r="G124" i="2"/>
  <c r="I124" i="2" s="1"/>
  <c r="EB123" i="2"/>
  <c r="EA123" i="2"/>
  <c r="DZ123" i="2"/>
  <c r="DY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Y123" i="2"/>
  <c r="DX123" i="2" s="1"/>
  <c r="CX123" i="2"/>
  <c r="CH123" i="2"/>
  <c r="CD123" i="2"/>
  <c r="CC123" i="2"/>
  <c r="CB123" i="2"/>
  <c r="CA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BA123" i="2"/>
  <c r="BZ123" i="2" s="1"/>
  <c r="AZ123" i="2"/>
  <c r="BY123" i="2" s="1"/>
  <c r="AJ123" i="2"/>
  <c r="BI123" i="2" s="1"/>
  <c r="AA123" i="2"/>
  <c r="K123" i="2"/>
  <c r="G123" i="2"/>
  <c r="I123" i="2" s="1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DW122" i="2" s="1"/>
  <c r="CH122" i="2"/>
  <c r="DG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BY122" i="2" s="1"/>
  <c r="AJ122" i="2"/>
  <c r="G122" i="2"/>
  <c r="I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CF121" i="2" s="1"/>
  <c r="EF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AH121" i="2" s="1"/>
  <c r="K121" i="2"/>
  <c r="DG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F120" i="2" s="1"/>
  <c r="EF120" i="2" s="1"/>
  <c r="CH120" i="2"/>
  <c r="DG120" i="2" s="1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AA120" i="2"/>
  <c r="G120" i="2"/>
  <c r="I120" i="2" s="1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J119" i="2"/>
  <c r="BE119" i="2"/>
  <c r="AL119" i="2"/>
  <c r="AJ119" i="2"/>
  <c r="BI119" i="2" s="1"/>
  <c r="AI119" i="2"/>
  <c r="M119" i="2"/>
  <c r="BK119" i="2" s="1"/>
  <c r="J119" i="2"/>
  <c r="EB118" i="2"/>
  <c r="EA118" i="2"/>
  <c r="DZ118" i="2"/>
  <c r="DY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Y118" i="2"/>
  <c r="CY134" i="2" s="1"/>
  <c r="CX118" i="2"/>
  <c r="CH118" i="2"/>
  <c r="CF118" i="2" s="1"/>
  <c r="EF118" i="2" s="1"/>
  <c r="CD118" i="2"/>
  <c r="CC118" i="2"/>
  <c r="CB118" i="2"/>
  <c r="CA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BA118" i="2"/>
  <c r="AZ118" i="2"/>
  <c r="AJ118" i="2"/>
  <c r="AA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X117" i="2"/>
  <c r="DW117" i="2" s="1"/>
  <c r="CH117" i="2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BY117" i="2" s="1"/>
  <c r="AJ117" i="2"/>
  <c r="BI117" i="2" s="1"/>
  <c r="AA117" i="2"/>
  <c r="G117" i="2" s="1"/>
  <c r="I117" i="2" s="1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X116" i="2"/>
  <c r="CH116" i="2"/>
  <c r="DG116" i="2" s="1"/>
  <c r="CD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Z116" i="2"/>
  <c r="AJ116" i="2"/>
  <c r="AA116" i="2"/>
  <c r="G116" i="2"/>
  <c r="I116" i="2" s="1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C115" i="2"/>
  <c r="EB115" i="2" s="1"/>
  <c r="CX115" i="2"/>
  <c r="DW115" i="2" s="1"/>
  <c r="CH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E115" i="2"/>
  <c r="CD115" i="2" s="1"/>
  <c r="AZ115" i="2"/>
  <c r="AJ115" i="2"/>
  <c r="BI115" i="2" s="1"/>
  <c r="AI115" i="2"/>
  <c r="AF115" i="2"/>
  <c r="K115" i="2"/>
  <c r="J115" i="2"/>
  <c r="EA114" i="2"/>
  <c r="DZ114" i="2"/>
  <c r="DY114" i="2"/>
  <c r="DX114" i="2"/>
  <c r="DV114" i="2"/>
  <c r="DU114" i="2"/>
  <c r="DT114" i="2"/>
  <c r="DS114" i="2"/>
  <c r="DR114" i="2"/>
  <c r="DP114" i="2"/>
  <c r="DO114" i="2"/>
  <c r="DN114" i="2"/>
  <c r="DM114" i="2"/>
  <c r="DL114" i="2"/>
  <c r="DK114" i="2"/>
  <c r="DJ114" i="2"/>
  <c r="DI114" i="2"/>
  <c r="DH114" i="2"/>
  <c r="DG114" i="2"/>
  <c r="DF114" i="2"/>
  <c r="CX114" i="2"/>
  <c r="CR114" i="2"/>
  <c r="CM114" i="2"/>
  <c r="CM134" i="2" s="1"/>
  <c r="CD114" i="2"/>
  <c r="CC114" i="2"/>
  <c r="CB114" i="2"/>
  <c r="CA114" i="2"/>
  <c r="BZ114" i="2"/>
  <c r="BX114" i="2"/>
  <c r="BW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BE114" i="2"/>
  <c r="AZ114" i="2"/>
  <c r="BY114" i="2" s="1"/>
  <c r="AT114" i="2"/>
  <c r="AO114" i="2"/>
  <c r="AF114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EB113" i="2" s="1"/>
  <c r="CC113" i="2"/>
  <c r="CB113" i="2"/>
  <c r="CA113" i="2"/>
  <c r="BZ113" i="2"/>
  <c r="BY113" i="2"/>
  <c r="BX113" i="2"/>
  <c r="BW113" i="2"/>
  <c r="BU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CD113" i="2" s="1"/>
  <c r="AW113" i="2"/>
  <c r="AU113" i="2"/>
  <c r="AU134" i="2" s="1"/>
  <c r="AR113" i="2"/>
  <c r="BQ113" i="2" s="1"/>
  <c r="AF113" i="2"/>
  <c r="S113" i="2"/>
  <c r="DO113" i="2" s="1"/>
  <c r="G113" i="2"/>
  <c r="I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C112" i="2"/>
  <c r="C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G112" i="2"/>
  <c r="I112" i="2" s="1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AH111" i="2"/>
  <c r="AF111" i="2"/>
  <c r="G111" i="2" s="1"/>
  <c r="I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G110" i="2" s="1"/>
  <c r="BF110" i="2" s="1"/>
  <c r="G110" i="2"/>
  <c r="I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C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H109" i="2"/>
  <c r="BE109" i="2"/>
  <c r="AF109" i="2"/>
  <c r="K109" i="2"/>
  <c r="BI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H108" i="2"/>
  <c r="DG108" i="2"/>
  <c r="DF108" i="2"/>
  <c r="CJ108" i="2"/>
  <c r="CF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J108" i="2"/>
  <c r="BI108" i="2"/>
  <c r="BH108" i="2"/>
  <c r="AL108" i="2"/>
  <c r="Q108" i="2"/>
  <c r="BO108" i="2" s="1"/>
  <c r="M108" i="2"/>
  <c r="DI108" i="2" s="1"/>
  <c r="G108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H107" i="2"/>
  <c r="DF107" i="2"/>
  <c r="DC107" i="2"/>
  <c r="EB107" i="2" s="1"/>
  <c r="CJ107" i="2"/>
  <c r="CF107" i="2" s="1"/>
  <c r="EF107" i="2" s="1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J107" i="2"/>
  <c r="BH107" i="2"/>
  <c r="BE107" i="2"/>
  <c r="CD107" i="2" s="1"/>
  <c r="AL107" i="2"/>
  <c r="AH107" i="2" s="1"/>
  <c r="AF107" i="2"/>
  <c r="M107" i="2"/>
  <c r="K107" i="2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L106" i="2"/>
  <c r="DK106" i="2"/>
  <c r="DJ106" i="2"/>
  <c r="DH106" i="2"/>
  <c r="DG106" i="2"/>
  <c r="DF106" i="2"/>
  <c r="DC106" i="2"/>
  <c r="CR106" i="2"/>
  <c r="CJ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N106" i="2"/>
  <c r="BM106" i="2"/>
  <c r="BL106" i="2"/>
  <c r="BJ106" i="2"/>
  <c r="BI106" i="2"/>
  <c r="BH106" i="2"/>
  <c r="BE106" i="2"/>
  <c r="CD106" i="2" s="1"/>
  <c r="AT106" i="2"/>
  <c r="AH106" i="2" s="1"/>
  <c r="AL106" i="2"/>
  <c r="BK106" i="2" s="1"/>
  <c r="AF106" i="2"/>
  <c r="U106" i="2"/>
  <c r="Q106" i="2"/>
  <c r="M106" i="2"/>
  <c r="DI106" i="2" s="1"/>
  <c r="EB105" i="2"/>
  <c r="EA105" i="2"/>
  <c r="DZ105" i="2"/>
  <c r="DX105" i="2"/>
  <c r="DW105" i="2"/>
  <c r="DV105" i="2"/>
  <c r="DU105" i="2"/>
  <c r="DT105" i="2"/>
  <c r="DS105" i="2"/>
  <c r="DR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C105" i="2"/>
  <c r="CB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J105" i="2"/>
  <c r="BI105" i="2"/>
  <c r="BH105" i="2"/>
  <c r="BE105" i="2"/>
  <c r="CD105" i="2" s="1"/>
  <c r="BB105" i="2"/>
  <c r="AL105" i="2"/>
  <c r="BK105" i="2" s="1"/>
  <c r="AF105" i="2"/>
  <c r="AC105" i="2"/>
  <c r="DY105" i="2" s="1"/>
  <c r="U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H104" i="2"/>
  <c r="DG104" i="2"/>
  <c r="DF104" i="2"/>
  <c r="DC104" i="2"/>
  <c r="CF104" i="2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J104" i="2"/>
  <c r="BI104" i="2"/>
  <c r="BH104" i="2"/>
  <c r="BE104" i="2"/>
  <c r="AL104" i="2"/>
  <c r="AH104" i="2" s="1"/>
  <c r="AF104" i="2"/>
  <c r="EB104" i="2" s="1"/>
  <c r="M104" i="2"/>
  <c r="K104" i="2"/>
  <c r="DZ103" i="2"/>
  <c r="DY103" i="2"/>
  <c r="DX103" i="2"/>
  <c r="DW103" i="2"/>
  <c r="DV103" i="2"/>
  <c r="DU103" i="2"/>
  <c r="DT103" i="2"/>
  <c r="DS103" i="2"/>
  <c r="DR103" i="2"/>
  <c r="DQ103" i="2"/>
  <c r="DP103" i="2"/>
  <c r="DN103" i="2"/>
  <c r="DL103" i="2"/>
  <c r="DK103" i="2"/>
  <c r="DJ103" i="2"/>
  <c r="DH103" i="2"/>
  <c r="DF103" i="2"/>
  <c r="DC103" i="2"/>
  <c r="DB103" i="2"/>
  <c r="CF103" i="2" s="1"/>
  <c r="CB103" i="2"/>
  <c r="CA103" i="2"/>
  <c r="BZ103" i="2"/>
  <c r="BY103" i="2"/>
  <c r="BX103" i="2"/>
  <c r="BW103" i="2"/>
  <c r="BV103" i="2"/>
  <c r="BU103" i="2"/>
  <c r="BT103" i="2"/>
  <c r="BS103" i="2"/>
  <c r="BR103" i="2"/>
  <c r="BP103" i="2"/>
  <c r="BO103" i="2"/>
  <c r="BN103" i="2"/>
  <c r="BM103" i="2"/>
  <c r="BL103" i="2"/>
  <c r="BJ103" i="2"/>
  <c r="BI103" i="2"/>
  <c r="BH103" i="2"/>
  <c r="BE103" i="2"/>
  <c r="BD103" i="2"/>
  <c r="BD134" i="2" s="1"/>
  <c r="AL103" i="2"/>
  <c r="AJ103" i="2"/>
  <c r="AF103" i="2"/>
  <c r="AE103" i="2"/>
  <c r="AE134" i="2" s="1"/>
  <c r="S103" i="2"/>
  <c r="DO103" i="2" s="1"/>
  <c r="Q103" i="2"/>
  <c r="M103" i="2"/>
  <c r="K103" i="2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CJ102" i="2"/>
  <c r="CF102" i="2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Q102" i="2"/>
  <c r="BP102" i="2"/>
  <c r="BO102" i="2"/>
  <c r="BN102" i="2"/>
  <c r="BM102" i="2"/>
  <c r="BL102" i="2"/>
  <c r="BJ102" i="2"/>
  <c r="BH102" i="2"/>
  <c r="AS102" i="2"/>
  <c r="BR102" i="2" s="1"/>
  <c r="AL102" i="2"/>
  <c r="BK102" i="2" s="1"/>
  <c r="AJ102" i="2"/>
  <c r="BI102" i="2" s="1"/>
  <c r="M102" i="2"/>
  <c r="G102" i="2"/>
  <c r="DZ101" i="2"/>
  <c r="DY101" i="2"/>
  <c r="DX101" i="2"/>
  <c r="DV101" i="2"/>
  <c r="DU101" i="2"/>
  <c r="DT101" i="2"/>
  <c r="DS101" i="2"/>
  <c r="DR101" i="2"/>
  <c r="DQ101" i="2"/>
  <c r="DP101" i="2"/>
  <c r="DM101" i="2"/>
  <c r="DL101" i="2"/>
  <c r="DK101" i="2"/>
  <c r="DJ101" i="2"/>
  <c r="DH101" i="2"/>
  <c r="DG101" i="2"/>
  <c r="DF101" i="2"/>
  <c r="DC101" i="2"/>
  <c r="CX101" i="2"/>
  <c r="CJ101" i="2"/>
  <c r="CB101" i="2"/>
  <c r="CA101" i="2"/>
  <c r="BZ101" i="2"/>
  <c r="BY101" i="2"/>
  <c r="BX101" i="2"/>
  <c r="BW101" i="2"/>
  <c r="BV101" i="2"/>
  <c r="BU101" i="2"/>
  <c r="BS101" i="2"/>
  <c r="BR101" i="2"/>
  <c r="BQ101" i="2"/>
  <c r="BO101" i="2"/>
  <c r="BN101" i="2"/>
  <c r="BM101" i="2"/>
  <c r="BL101" i="2"/>
  <c r="BJ101" i="2"/>
  <c r="BI101" i="2"/>
  <c r="BH101" i="2"/>
  <c r="BE101" i="2"/>
  <c r="BD101" i="2"/>
  <c r="AZ101" i="2"/>
  <c r="AL101" i="2"/>
  <c r="AJ101" i="2"/>
  <c r="AF101" i="2"/>
  <c r="EB101" i="2" s="1"/>
  <c r="AE101" i="2"/>
  <c r="V101" i="2"/>
  <c r="S101" i="2"/>
  <c r="S133" i="2" s="1"/>
  <c r="R101" i="2"/>
  <c r="M101" i="2"/>
  <c r="K101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C100" i="2"/>
  <c r="CF100" i="2" s="1"/>
  <c r="EF100" i="2" s="1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E100" i="2"/>
  <c r="CD100" i="2" s="1"/>
  <c r="AF100" i="2"/>
  <c r="G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G99" i="2"/>
  <c r="I99" i="2" s="1"/>
  <c r="EB98" i="2"/>
  <c r="EA98" i="2"/>
  <c r="DZ98" i="2"/>
  <c r="DY98" i="2"/>
  <c r="DX98" i="2"/>
  <c r="DW98" i="2"/>
  <c r="DV98" i="2"/>
  <c r="DU98" i="2"/>
  <c r="DT98" i="2"/>
  <c r="DR98" i="2"/>
  <c r="DQ98" i="2"/>
  <c r="DP98" i="2"/>
  <c r="DO98" i="2"/>
  <c r="DN98" i="2"/>
  <c r="DM98" i="2"/>
  <c r="DL98" i="2"/>
  <c r="DK98" i="2"/>
  <c r="DH98" i="2"/>
  <c r="DG98" i="2"/>
  <c r="CT98" i="2"/>
  <c r="DS98" i="2" s="1"/>
  <c r="CK98" i="2"/>
  <c r="CG98" i="2"/>
  <c r="CC98" i="2"/>
  <c r="CB98" i="2"/>
  <c r="CA98" i="2"/>
  <c r="BZ98" i="2"/>
  <c r="BY98" i="2"/>
  <c r="BX98" i="2"/>
  <c r="BW98" i="2"/>
  <c r="BW133" i="2" s="1"/>
  <c r="BT98" i="2"/>
  <c r="BS98" i="2"/>
  <c r="BQ98" i="2"/>
  <c r="BP98" i="2"/>
  <c r="BO98" i="2"/>
  <c r="BN98" i="2"/>
  <c r="BM98" i="2"/>
  <c r="BK98" i="2"/>
  <c r="BJ98" i="2"/>
  <c r="BI98" i="2"/>
  <c r="AW98" i="2"/>
  <c r="AV98" i="2"/>
  <c r="AS98" i="2"/>
  <c r="AM98" i="2"/>
  <c r="AM133" i="2" s="1"/>
  <c r="AL98" i="2"/>
  <c r="AI98" i="2"/>
  <c r="AI133" i="2" s="1"/>
  <c r="AF98" i="2"/>
  <c r="M98" i="2"/>
  <c r="DB97" i="2"/>
  <c r="DA97" i="2"/>
  <c r="CY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BD97" i="2"/>
  <c r="BC97" i="2"/>
  <c r="BA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E97" i="2"/>
  <c r="AD97" i="2"/>
  <c r="AB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L97" i="2"/>
  <c r="K97" i="2"/>
  <c r="J97" i="2"/>
  <c r="H97" i="2"/>
  <c r="EB96" i="2"/>
  <c r="EA96" i="2"/>
  <c r="DZ96" i="2"/>
  <c r="DY96" i="2"/>
  <c r="DX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CX96" i="2"/>
  <c r="DW96" i="2" s="1"/>
  <c r="CW96" i="2"/>
  <c r="DV96" i="2" s="1"/>
  <c r="CG96" i="2"/>
  <c r="CF96" i="2" s="1"/>
  <c r="CD96" i="2"/>
  <c r="CC96" i="2"/>
  <c r="CB96" i="2"/>
  <c r="CA96" i="2"/>
  <c r="BZ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Z96" i="2"/>
  <c r="BY96" i="2" s="1"/>
  <c r="AY96" i="2"/>
  <c r="AI96" i="2"/>
  <c r="J96" i="2"/>
  <c r="EB95" i="2"/>
  <c r="EA95" i="2"/>
  <c r="DZ95" i="2"/>
  <c r="DY95" i="2"/>
  <c r="DX95" i="2"/>
  <c r="DW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H95" i="2"/>
  <c r="DC95" i="2"/>
  <c r="CW95" i="2"/>
  <c r="DV95" i="2" s="1"/>
  <c r="CJ95" i="2"/>
  <c r="CJ135" i="2" s="1"/>
  <c r="CH95" i="2"/>
  <c r="CH97" i="2" s="1"/>
  <c r="CG95" i="2"/>
  <c r="CC95" i="2"/>
  <c r="CB95" i="2"/>
  <c r="CA95" i="2"/>
  <c r="BZ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J95" i="2"/>
  <c r="BE95" i="2"/>
  <c r="AY95" i="2"/>
  <c r="BX95" i="2" s="1"/>
  <c r="AL95" i="2"/>
  <c r="AL135" i="2" s="1"/>
  <c r="AJ95" i="2"/>
  <c r="BI95" i="2" s="1"/>
  <c r="AI95" i="2"/>
  <c r="AF95" i="2"/>
  <c r="CD95" i="2" s="1"/>
  <c r="M95" i="2"/>
  <c r="J95" i="2"/>
  <c r="DF95" i="2" s="1"/>
  <c r="EB94" i="2"/>
  <c r="EA94" i="2"/>
  <c r="DZ94" i="2"/>
  <c r="DY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F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H94" i="2"/>
  <c r="AC94" i="2"/>
  <c r="J94" i="2"/>
  <c r="DF94" i="2" s="1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CX93" i="2"/>
  <c r="CW93" i="2"/>
  <c r="CG93" i="2"/>
  <c r="CD93" i="2"/>
  <c r="CC93" i="2"/>
  <c r="CB93" i="2"/>
  <c r="CA93" i="2"/>
  <c r="BZ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AZ93" i="2"/>
  <c r="AY93" i="2"/>
  <c r="BX93" i="2" s="1"/>
  <c r="AI93" i="2"/>
  <c r="AA93" i="2"/>
  <c r="BY93" i="2" s="1"/>
  <c r="J93" i="2"/>
  <c r="G93" i="2" s="1"/>
  <c r="I93" i="2" s="1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Y92" i="2"/>
  <c r="AA92" i="2"/>
  <c r="G92" i="2"/>
  <c r="I92" i="2" s="1"/>
  <c r="EB91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CX91" i="2"/>
  <c r="CW91" i="2"/>
  <c r="DV91" i="2" s="1"/>
  <c r="CG91" i="2"/>
  <c r="DF91" i="2" s="1"/>
  <c r="CD91" i="2"/>
  <c r="CC91" i="2"/>
  <c r="CB91" i="2"/>
  <c r="CA91" i="2"/>
  <c r="BZ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AZ91" i="2"/>
  <c r="AY91" i="2"/>
  <c r="AI91" i="2"/>
  <c r="BH91" i="2" s="1"/>
  <c r="AA91" i="2"/>
  <c r="DW91" i="2" s="1"/>
  <c r="J91" i="2"/>
  <c r="G91" i="2"/>
  <c r="I91" i="2" s="1"/>
  <c r="EA90" i="2"/>
  <c r="DZ90" i="2"/>
  <c r="DY90" i="2"/>
  <c r="DX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X90" i="2"/>
  <c r="CW90" i="2" s="1"/>
  <c r="CC90" i="2"/>
  <c r="CB90" i="2"/>
  <c r="CA90" i="2"/>
  <c r="BZ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Z90" i="2"/>
  <c r="AY90" i="2"/>
  <c r="AF90" i="2"/>
  <c r="EB90" i="2" s="1"/>
  <c r="AA90" i="2"/>
  <c r="EB89" i="2"/>
  <c r="EA89" i="2"/>
  <c r="DZ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G89" i="2"/>
  <c r="DF89" i="2"/>
  <c r="DC89" i="2"/>
  <c r="CI89" i="2"/>
  <c r="DH89" i="2" s="1"/>
  <c r="CC89" i="2"/>
  <c r="CB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I89" i="2"/>
  <c r="BH89" i="2"/>
  <c r="BE89" i="2"/>
  <c r="CD89" i="2" s="1"/>
  <c r="BB89" i="2"/>
  <c r="CA89" i="2" s="1"/>
  <c r="AK89" i="2"/>
  <c r="AK135" i="2" s="1"/>
  <c r="G89" i="2"/>
  <c r="I89" i="2" s="1"/>
  <c r="EB88" i="2"/>
  <c r="EA88" i="2"/>
  <c r="DZ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DY88" i="2" s="1"/>
  <c r="CX88" i="2"/>
  <c r="CD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AZ88" i="2"/>
  <c r="BY88" i="2" s="1"/>
  <c r="G88" i="2"/>
  <c r="I88" i="2" s="1"/>
  <c r="EB87" i="2"/>
  <c r="EA87" i="2"/>
  <c r="DZ87" i="2"/>
  <c r="DX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C87" i="2"/>
  <c r="CB87" i="2"/>
  <c r="BZ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E87" i="2"/>
  <c r="CD87" i="2" s="1"/>
  <c r="BB87" i="2"/>
  <c r="AZ87" i="2"/>
  <c r="AA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G86" i="2"/>
  <c r="I86" i="2" s="1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DC85" i="2"/>
  <c r="CF85" i="2" s="1"/>
  <c r="EF8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E85" i="2"/>
  <c r="BB85" i="2"/>
  <c r="AF85" i="2"/>
  <c r="G85" i="2"/>
  <c r="I85" i="2" s="1"/>
  <c r="EB84" i="2"/>
  <c r="EA84" i="2"/>
  <c r="DZ84" i="2"/>
  <c r="DX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CF84" i="2" s="1"/>
  <c r="EF84" i="2" s="1"/>
  <c r="CD84" i="2"/>
  <c r="CC84" i="2"/>
  <c r="CB84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CA84" i="2" s="1"/>
  <c r="AZ84" i="2"/>
  <c r="AH84" i="2"/>
  <c r="AA84" i="2"/>
  <c r="DW84" i="2" s="1"/>
  <c r="G84" i="2"/>
  <c r="I84" i="2" s="1"/>
  <c r="EB83" i="2"/>
  <c r="EA83" i="2"/>
  <c r="DZ83" i="2"/>
  <c r="DY83" i="2"/>
  <c r="DX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CX83" i="2"/>
  <c r="CW83" i="2"/>
  <c r="CG83" i="2"/>
  <c r="CD83" i="2"/>
  <c r="CC83" i="2"/>
  <c r="CB83" i="2"/>
  <c r="CA83" i="2"/>
  <c r="BZ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AZ83" i="2"/>
  <c r="AY83" i="2"/>
  <c r="AI83" i="2"/>
  <c r="AA83" i="2"/>
  <c r="J83" i="2"/>
  <c r="G83" i="2"/>
  <c r="I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G81" i="2"/>
  <c r="EB80" i="2"/>
  <c r="EA80" i="2"/>
  <c r="DZ80" i="2"/>
  <c r="DX80" i="2"/>
  <c r="DW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CZ80" i="2"/>
  <c r="DY80" i="2" s="1"/>
  <c r="CG80" i="2"/>
  <c r="DF80" i="2" s="1"/>
  <c r="CD80" i="2"/>
  <c r="CC80" i="2"/>
  <c r="CB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B80" i="2"/>
  <c r="CA80" i="2" s="1"/>
  <c r="AI80" i="2"/>
  <c r="BH80" i="2" s="1"/>
  <c r="G80" i="2"/>
  <c r="I80" i="2" s="1"/>
  <c r="EB79" i="2"/>
  <c r="EA79" i="2"/>
  <c r="DZ79" i="2"/>
  <c r="DY79" i="2"/>
  <c r="DX79" i="2"/>
  <c r="DW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Z79" i="2"/>
  <c r="CF79" i="2" s="1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B79" i="2"/>
  <c r="AH79" i="2" s="1"/>
  <c r="AG79" i="2" s="1"/>
  <c r="BF79" i="2" s="1"/>
  <c r="AA79" i="2"/>
  <c r="G79" i="2"/>
  <c r="I79" i="2" s="1"/>
  <c r="EB78" i="2"/>
  <c r="EA78" i="2"/>
  <c r="DZ78" i="2"/>
  <c r="DX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CZ78" i="2"/>
  <c r="DY78" i="2" s="1"/>
  <c r="CG78" i="2"/>
  <c r="DF78" i="2" s="1"/>
  <c r="CD78" i="2"/>
  <c r="CC78" i="2"/>
  <c r="CB78" i="2"/>
  <c r="BZ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B78" i="2"/>
  <c r="AI78" i="2"/>
  <c r="AA78" i="2"/>
  <c r="J78" i="2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K77" i="2"/>
  <c r="CJ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M77" i="2"/>
  <c r="AK77" i="2"/>
  <c r="AI77" i="2"/>
  <c r="AE77" i="2"/>
  <c r="AD77" i="2"/>
  <c r="AC77" i="2"/>
  <c r="Z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G76" i="2"/>
  <c r="DF76" i="2"/>
  <c r="CF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H76" i="2"/>
  <c r="K76" i="2"/>
  <c r="BI76" i="2" s="1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EF75" i="2" s="1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AA75" i="2"/>
  <c r="K75" i="2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AG74" i="2" s="1"/>
  <c r="BF74" i="2" s="1"/>
  <c r="AA74" i="2"/>
  <c r="DW74" i="2" s="1"/>
  <c r="G74" i="2"/>
  <c r="I74" i="2" s="1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H73" i="2" s="1"/>
  <c r="AA73" i="2"/>
  <c r="BY73" i="2" s="1"/>
  <c r="K73" i="2"/>
  <c r="BI73" i="2" s="1"/>
  <c r="EB72" i="2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X72" i="2"/>
  <c r="DW72" i="2" s="1"/>
  <c r="CH72" i="2"/>
  <c r="CD72" i="2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Z72" i="2"/>
  <c r="AJ72" i="2"/>
  <c r="AA72" i="2"/>
  <c r="K72" i="2"/>
  <c r="G72" i="2"/>
  <c r="I72" i="2" s="1"/>
  <c r="EA71" i="2"/>
  <c r="DZ71" i="2"/>
  <c r="DY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Y71" i="2"/>
  <c r="DX71" i="2" s="1"/>
  <c r="CX71" i="2"/>
  <c r="CH71" i="2"/>
  <c r="DG71" i="2" s="1"/>
  <c r="CD71" i="2"/>
  <c r="CC71" i="2"/>
  <c r="CB71" i="2"/>
  <c r="CA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BA71" i="2"/>
  <c r="BZ71" i="2" s="1"/>
  <c r="AZ71" i="2"/>
  <c r="AJ71" i="2"/>
  <c r="AF71" i="2"/>
  <c r="EB71" i="2" s="1"/>
  <c r="AA71" i="2"/>
  <c r="K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Z70" i="2"/>
  <c r="AJ70" i="2"/>
  <c r="AA70" i="2"/>
  <c r="DW70" i="2" s="1"/>
  <c r="K70" i="2"/>
  <c r="G70" i="2"/>
  <c r="I70" i="2" s="1"/>
  <c r="EB69" i="2"/>
  <c r="EA69" i="2"/>
  <c r="DZ69" i="2"/>
  <c r="DY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Y69" i="2"/>
  <c r="CH69" i="2" s="1"/>
  <c r="CF69" i="2" s="1"/>
  <c r="CX69" i="2"/>
  <c r="CD69" i="2"/>
  <c r="CC69" i="2"/>
  <c r="CB69" i="2"/>
  <c r="CA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BA69" i="2"/>
  <c r="BZ69" i="2" s="1"/>
  <c r="AZ69" i="2"/>
  <c r="BY69" i="2" s="1"/>
  <c r="AJ69" i="2"/>
  <c r="AB69" i="2"/>
  <c r="AA69" i="2"/>
  <c r="DW69" i="2" s="1"/>
  <c r="K69" i="2"/>
  <c r="EB68" i="2"/>
  <c r="EA68" i="2"/>
  <c r="DZ68" i="2"/>
  <c r="DY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Y68" i="2"/>
  <c r="DX68" i="2" s="1"/>
  <c r="CX68" i="2"/>
  <c r="DW68" i="2" s="1"/>
  <c r="CH68" i="2"/>
  <c r="CD68" i="2"/>
  <c r="CC68" i="2"/>
  <c r="CB68" i="2"/>
  <c r="CA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A68" i="2"/>
  <c r="BZ68" i="2" s="1"/>
  <c r="AZ68" i="2"/>
  <c r="AJ68" i="2"/>
  <c r="AA68" i="2"/>
  <c r="K68" i="2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DC67" i="2"/>
  <c r="CH67" i="2" s="1"/>
  <c r="CF67" i="2" s="1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BE67" i="2"/>
  <c r="CD67" i="2" s="1"/>
  <c r="AZ67" i="2"/>
  <c r="BY67" i="2" s="1"/>
  <c r="AJ67" i="2"/>
  <c r="AF67" i="2"/>
  <c r="K67" i="2"/>
  <c r="G67" i="2"/>
  <c r="I67" i="2" s="1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F66" i="2"/>
  <c r="CH66" i="2"/>
  <c r="CV66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H66" i="2"/>
  <c r="AX66" i="2"/>
  <c r="AX139" i="2" s="1"/>
  <c r="AJ66" i="2"/>
  <c r="Y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C65" i="2"/>
  <c r="C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E65" i="2"/>
  <c r="AH65" i="2" s="1"/>
  <c r="AF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AG64" i="2" s="1"/>
  <c r="BF64" i="2" s="1"/>
  <c r="H64" i="2"/>
  <c r="G64" i="2"/>
  <c r="I64" i="2" s="1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F63" i="2"/>
  <c r="CY63" i="2"/>
  <c r="DX63" i="2" s="1"/>
  <c r="CX63" i="2"/>
  <c r="CL63" i="2"/>
  <c r="CH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BE63" i="2"/>
  <c r="BA63" i="2"/>
  <c r="BZ63" i="2" s="1"/>
  <c r="AZ63" i="2"/>
  <c r="AN63" i="2"/>
  <c r="BM63" i="2" s="1"/>
  <c r="AJ63" i="2"/>
  <c r="BI63" i="2" s="1"/>
  <c r="AF63" i="2"/>
  <c r="CD63" i="2" s="1"/>
  <c r="AA63" i="2"/>
  <c r="BY63" i="2" s="1"/>
  <c r="K63" i="2"/>
  <c r="EB62" i="2"/>
  <c r="EA62" i="2"/>
  <c r="DZ62" i="2"/>
  <c r="DY62" i="2"/>
  <c r="DV62" i="2"/>
  <c r="DU62" i="2"/>
  <c r="DT62" i="2"/>
  <c r="DS62" i="2"/>
  <c r="DR62" i="2"/>
  <c r="DQ62" i="2"/>
  <c r="DP62" i="2"/>
  <c r="DO62" i="2"/>
  <c r="DN62" i="2"/>
  <c r="DM62" i="2"/>
  <c r="DL62" i="2"/>
  <c r="DJ62" i="2"/>
  <c r="DI62" i="2"/>
  <c r="DH62" i="2"/>
  <c r="DF62" i="2"/>
  <c r="CY62" i="2"/>
  <c r="DX62" i="2" s="1"/>
  <c r="CX62" i="2"/>
  <c r="CL62" i="2"/>
  <c r="CH62" i="2"/>
  <c r="CD62" i="2"/>
  <c r="CC62" i="2"/>
  <c r="CB62" i="2"/>
  <c r="CA62" i="2"/>
  <c r="BX62" i="2"/>
  <c r="BW62" i="2"/>
  <c r="BV62" i="2"/>
  <c r="BU62" i="2"/>
  <c r="BT62" i="2"/>
  <c r="BS62" i="2"/>
  <c r="BR62" i="2"/>
  <c r="BQ62" i="2"/>
  <c r="BP62" i="2"/>
  <c r="BO62" i="2"/>
  <c r="BN62" i="2"/>
  <c r="BL62" i="2"/>
  <c r="BK62" i="2"/>
  <c r="BJ62" i="2"/>
  <c r="BH62" i="2"/>
  <c r="BA62" i="2"/>
  <c r="AZ62" i="2"/>
  <c r="BY62" i="2" s="1"/>
  <c r="AN62" i="2"/>
  <c r="BM62" i="2" s="1"/>
  <c r="AJ62" i="2"/>
  <c r="AB62" i="2"/>
  <c r="AA62" i="2"/>
  <c r="K62" i="2"/>
  <c r="DG62" i="2" s="1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X61" i="2"/>
  <c r="CH61" i="2"/>
  <c r="DG61" i="2" s="1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Z61" i="2"/>
  <c r="AJ61" i="2"/>
  <c r="AH61" i="2" s="1"/>
  <c r="AG61" i="2" s="1"/>
  <c r="BF61" i="2" s="1"/>
  <c r="AA61" i="2"/>
  <c r="K61" i="2"/>
  <c r="BI61" i="2" s="1"/>
  <c r="G61" i="2"/>
  <c r="I61" i="2" s="1"/>
  <c r="EB60" i="2"/>
  <c r="EA60" i="2"/>
  <c r="DZ60" i="2"/>
  <c r="DY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Y60" i="2"/>
  <c r="CX60" i="2"/>
  <c r="CH60" i="2"/>
  <c r="CF60" i="2" s="1"/>
  <c r="CD60" i="2"/>
  <c r="CC60" i="2"/>
  <c r="CB60" i="2"/>
  <c r="CA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BA60" i="2"/>
  <c r="BZ60" i="2" s="1"/>
  <c r="AZ60" i="2"/>
  <c r="BY60" i="2" s="1"/>
  <c r="AJ60" i="2"/>
  <c r="AB60" i="2"/>
  <c r="DX60" i="2" s="1"/>
  <c r="AA60" i="2"/>
  <c r="DW60" i="2" s="1"/>
  <c r="K60" i="2"/>
  <c r="G60" i="2" s="1"/>
  <c r="I60" i="2" s="1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F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K59" i="2"/>
  <c r="G59" i="2"/>
  <c r="I59" i="2" s="1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DW58" i="2" s="1"/>
  <c r="CH58" i="2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Z58" i="2"/>
  <c r="AJ58" i="2"/>
  <c r="AA58" i="2"/>
  <c r="K58" i="2"/>
  <c r="DG58" i="2" s="1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F57" i="2" s="1"/>
  <c r="EF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AH57" i="2" s="1"/>
  <c r="K57" i="2"/>
  <c r="G57" i="2" s="1"/>
  <c r="I57" i="2" s="1"/>
  <c r="EB56" i="2"/>
  <c r="EA56" i="2"/>
  <c r="DZ56" i="2"/>
  <c r="DY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Y56" i="2"/>
  <c r="CX56" i="2"/>
  <c r="CH56" i="2"/>
  <c r="CD56" i="2"/>
  <c r="CC56" i="2"/>
  <c r="CB56" i="2"/>
  <c r="CA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BA56" i="2"/>
  <c r="BZ56" i="2" s="1"/>
  <c r="AZ56" i="2"/>
  <c r="AJ56" i="2"/>
  <c r="AB56" i="2"/>
  <c r="AA56" i="2"/>
  <c r="K56" i="2"/>
  <c r="BI56" i="2" s="1"/>
  <c r="EA55" i="2"/>
  <c r="DZ55" i="2"/>
  <c r="DY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EB55" i="2" s="1"/>
  <c r="CY55" i="2"/>
  <c r="CX55" i="2"/>
  <c r="CH55" i="2"/>
  <c r="CF55" i="2"/>
  <c r="CC55" i="2"/>
  <c r="CB55" i="2"/>
  <c r="CA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CD55" i="2" s="1"/>
  <c r="BA55" i="2"/>
  <c r="AZ55" i="2"/>
  <c r="AJ55" i="2"/>
  <c r="AF55" i="2"/>
  <c r="AB55" i="2"/>
  <c r="DX55" i="2" s="1"/>
  <c r="AA55" i="2"/>
  <c r="BY55" i="2" s="1"/>
  <c r="K55" i="2"/>
  <c r="BI55" i="2" s="1"/>
  <c r="H55" i="2"/>
  <c r="H77" i="2" s="1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F54" i="2" s="1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H54" i="2" s="1"/>
  <c r="AJ54" i="2"/>
  <c r="AF54" i="2"/>
  <c r="AA54" i="2"/>
  <c r="DW54" i="2" s="1"/>
  <c r="K54" i="2"/>
  <c r="DG54" i="2" s="1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AH53" i="2" s="1"/>
  <c r="AA53" i="2"/>
  <c r="K53" i="2"/>
  <c r="G53" i="2" s="1"/>
  <c r="I53" i="2" s="1"/>
  <c r="EB52" i="2"/>
  <c r="EA52" i="2"/>
  <c r="DZ52" i="2"/>
  <c r="DY52" i="2"/>
  <c r="DX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X52" i="2"/>
  <c r="CH52" i="2"/>
  <c r="DG52" i="2" s="1"/>
  <c r="CD52" i="2"/>
  <c r="CC52" i="2"/>
  <c r="CB52" i="2"/>
  <c r="CA52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Z52" i="2"/>
  <c r="AJ52" i="2"/>
  <c r="AF52" i="2"/>
  <c r="AA52" i="2"/>
  <c r="K52" i="2"/>
  <c r="EA51" i="2"/>
  <c r="DZ51" i="2"/>
  <c r="DY51" i="2"/>
  <c r="DX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F51" i="2"/>
  <c r="DC51" i="2"/>
  <c r="CH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H51" i="2"/>
  <c r="BE51" i="2"/>
  <c r="AJ51" i="2"/>
  <c r="BI51" i="2" s="1"/>
  <c r="AF51" i="2"/>
  <c r="AA51" i="2"/>
  <c r="DW51" i="2" s="1"/>
  <c r="K51" i="2"/>
  <c r="DG51" i="2" s="1"/>
  <c r="G51" i="2"/>
  <c r="DB50" i="2"/>
  <c r="CZ50" i="2"/>
  <c r="CW50" i="2"/>
  <c r="CT50" i="2"/>
  <c r="CS50" i="2"/>
  <c r="CR50" i="2"/>
  <c r="CO50" i="2"/>
  <c r="CM50" i="2"/>
  <c r="CL50" i="2"/>
  <c r="CK50" i="2"/>
  <c r="CJ50" i="2"/>
  <c r="CI50" i="2"/>
  <c r="CG50" i="2"/>
  <c r="BD50" i="2"/>
  <c r="BB50" i="2"/>
  <c r="AY50" i="2"/>
  <c r="AV50" i="2"/>
  <c r="AU50" i="2"/>
  <c r="AO50" i="2"/>
  <c r="AN50" i="2"/>
  <c r="AM50" i="2"/>
  <c r="AL50" i="2"/>
  <c r="AK50" i="2"/>
  <c r="AI50" i="2"/>
  <c r="AE50" i="2"/>
  <c r="AC50" i="2"/>
  <c r="AB50" i="2"/>
  <c r="Z50" i="2"/>
  <c r="Y50" i="2"/>
  <c r="W50" i="2"/>
  <c r="V50" i="2"/>
  <c r="U50" i="2"/>
  <c r="T50" i="2"/>
  <c r="P50" i="2"/>
  <c r="O50" i="2"/>
  <c r="N50" i="2"/>
  <c r="M50" i="2"/>
  <c r="L50" i="2"/>
  <c r="J50" i="2"/>
  <c r="EA49" i="2"/>
  <c r="DZ49" i="2"/>
  <c r="DY49" i="2"/>
  <c r="DX49" i="2"/>
  <c r="DW49" i="2"/>
  <c r="DV49" i="2"/>
  <c r="DU49" i="2"/>
  <c r="DT49" i="2"/>
  <c r="DS49" i="2"/>
  <c r="DR49" i="2"/>
  <c r="DP49" i="2"/>
  <c r="DO49" i="2"/>
  <c r="DN49" i="2"/>
  <c r="DM49" i="2"/>
  <c r="DL49" i="2"/>
  <c r="DK49" i="2"/>
  <c r="DJ49" i="2"/>
  <c r="DI49" i="2"/>
  <c r="DH49" i="2"/>
  <c r="DF49" i="2"/>
  <c r="DC49" i="2"/>
  <c r="EB49" i="2" s="1"/>
  <c r="CX49" i="2"/>
  <c r="CH49" i="2"/>
  <c r="CF49" i="2" s="1"/>
  <c r="CC49" i="2"/>
  <c r="CB49" i="2"/>
  <c r="CA49" i="2"/>
  <c r="BZ49" i="2"/>
  <c r="BY49" i="2"/>
  <c r="BX49" i="2"/>
  <c r="BW49" i="2"/>
  <c r="BV49" i="2"/>
  <c r="BU49" i="2"/>
  <c r="BT49" i="2"/>
  <c r="BR49" i="2"/>
  <c r="BQ49" i="2"/>
  <c r="BP49" i="2"/>
  <c r="BN49" i="2"/>
  <c r="BM49" i="2"/>
  <c r="BL49" i="2"/>
  <c r="BK49" i="2"/>
  <c r="BJ49" i="2"/>
  <c r="BH49" i="2"/>
  <c r="BE49" i="2"/>
  <c r="AZ49" i="2"/>
  <c r="AT49" i="2"/>
  <c r="BS49" i="2" s="1"/>
  <c r="AP49" i="2"/>
  <c r="BO49" i="2" s="1"/>
  <c r="AJ49" i="2"/>
  <c r="AF49" i="2"/>
  <c r="U49" i="2"/>
  <c r="DQ49" i="2" s="1"/>
  <c r="Q49" i="2"/>
  <c r="K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G48" i="2"/>
  <c r="DF48" i="2"/>
  <c r="DC48" i="2"/>
  <c r="CX48" i="2"/>
  <c r="CN48" i="2"/>
  <c r="DM48" i="2" s="1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I48" i="2"/>
  <c r="BH48" i="2"/>
  <c r="BE48" i="2"/>
  <c r="AZ48" i="2"/>
  <c r="AP48" i="2"/>
  <c r="AH48" i="2" s="1"/>
  <c r="AF48" i="2"/>
  <c r="CD48" i="2" s="1"/>
  <c r="EA47" i="2"/>
  <c r="DZ47" i="2"/>
  <c r="DY47" i="2"/>
  <c r="DX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G47" i="2"/>
  <c r="DF47" i="2"/>
  <c r="DC47" i="2"/>
  <c r="CX47" i="2"/>
  <c r="CH47" i="2"/>
  <c r="CC47" i="2"/>
  <c r="CB47" i="2"/>
  <c r="CA47" i="2"/>
  <c r="BZ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H47" i="2"/>
  <c r="BE47" i="2"/>
  <c r="CD47" i="2" s="1"/>
  <c r="AZ47" i="2"/>
  <c r="BY47" i="2" s="1"/>
  <c r="AJ47" i="2"/>
  <c r="AF47" i="2"/>
  <c r="EB47" i="2" s="1"/>
  <c r="G47" i="2"/>
  <c r="I47" i="2" s="1"/>
  <c r="EB46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F46" i="2"/>
  <c r="CY46" i="2"/>
  <c r="DX46" i="2" s="1"/>
  <c r="CX46" i="2"/>
  <c r="CN46" i="2"/>
  <c r="CH46" i="2"/>
  <c r="DG46" i="2" s="1"/>
  <c r="CD46" i="2"/>
  <c r="CC46" i="2"/>
  <c r="CB46" i="2"/>
  <c r="CA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H46" i="2"/>
  <c r="BA46" i="2"/>
  <c r="BZ46" i="2" s="1"/>
  <c r="AZ46" i="2"/>
  <c r="AX46" i="2"/>
  <c r="AP46" i="2"/>
  <c r="BO46" i="2" s="1"/>
  <c r="AJ46" i="2"/>
  <c r="BI46" i="2" s="1"/>
  <c r="Y46" i="2"/>
  <c r="Y137" i="2" s="1"/>
  <c r="G46" i="2"/>
  <c r="I46" i="2" s="1"/>
  <c r="EB45" i="2"/>
  <c r="EA45" i="2"/>
  <c r="DZ45" i="2"/>
  <c r="DY45" i="2"/>
  <c r="DX45" i="2"/>
  <c r="DW45" i="2"/>
  <c r="DV45" i="2"/>
  <c r="DU45" i="2"/>
  <c r="DT45" i="2"/>
  <c r="DS45" i="2"/>
  <c r="DR45" i="2"/>
  <c r="DP45" i="2"/>
  <c r="DO45" i="2"/>
  <c r="DN45" i="2"/>
  <c r="DL45" i="2"/>
  <c r="DK45" i="2"/>
  <c r="DJ45" i="2"/>
  <c r="DI45" i="2"/>
  <c r="DH45" i="2"/>
  <c r="DF45" i="2"/>
  <c r="CN45" i="2"/>
  <c r="DM45" i="2" s="1"/>
  <c r="CF45" i="2"/>
  <c r="CD45" i="2"/>
  <c r="CC45" i="2"/>
  <c r="CB45" i="2"/>
  <c r="CA45" i="2"/>
  <c r="BZ45" i="2"/>
  <c r="BY45" i="2"/>
  <c r="BX45" i="2"/>
  <c r="BW45" i="2"/>
  <c r="BV45" i="2"/>
  <c r="BU45" i="2"/>
  <c r="BT45" i="2"/>
  <c r="BR45" i="2"/>
  <c r="BQ45" i="2"/>
  <c r="BP45" i="2"/>
  <c r="BN45" i="2"/>
  <c r="BM45" i="2"/>
  <c r="BL45" i="2"/>
  <c r="BK45" i="2"/>
  <c r="BJ45" i="2"/>
  <c r="BH45" i="2"/>
  <c r="AP45" i="2"/>
  <c r="BO45" i="2" s="1"/>
  <c r="AH45" i="2"/>
  <c r="U45" i="2"/>
  <c r="K45" i="2"/>
  <c r="G45" i="2" s="1"/>
  <c r="I45" i="2" s="1"/>
  <c r="EB44" i="2"/>
  <c r="EA44" i="2"/>
  <c r="DZ44" i="2"/>
  <c r="DY44" i="2"/>
  <c r="DX44" i="2"/>
  <c r="DW44" i="2"/>
  <c r="DV44" i="2"/>
  <c r="DU44" i="2"/>
  <c r="DT44" i="2"/>
  <c r="DS44" i="2"/>
  <c r="DR44" i="2"/>
  <c r="DP44" i="2"/>
  <c r="DO44" i="2"/>
  <c r="DN44" i="2"/>
  <c r="DL44" i="2"/>
  <c r="DK44" i="2"/>
  <c r="DJ44" i="2"/>
  <c r="DI44" i="2"/>
  <c r="DH44" i="2"/>
  <c r="DF44" i="2"/>
  <c r="CH44" i="2"/>
  <c r="CD44" i="2"/>
  <c r="CC44" i="2"/>
  <c r="CB44" i="2"/>
  <c r="CA44" i="2"/>
  <c r="BZ44" i="2"/>
  <c r="BY44" i="2"/>
  <c r="BX44" i="2"/>
  <c r="BW44" i="2"/>
  <c r="BV44" i="2"/>
  <c r="BU44" i="2"/>
  <c r="BT44" i="2"/>
  <c r="BR44" i="2"/>
  <c r="BQ44" i="2"/>
  <c r="BP44" i="2"/>
  <c r="BN44" i="2"/>
  <c r="BM44" i="2"/>
  <c r="BL44" i="2"/>
  <c r="BK44" i="2"/>
  <c r="BJ44" i="2"/>
  <c r="BH44" i="2"/>
  <c r="AJ44" i="2"/>
  <c r="BI44" i="2" s="1"/>
  <c r="U44" i="2"/>
  <c r="Q44" i="2"/>
  <c r="DM44" i="2" s="1"/>
  <c r="EA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F43" i="2"/>
  <c r="DC43" i="2"/>
  <c r="EB43" i="2" s="1"/>
  <c r="CX43" i="2"/>
  <c r="CH43" i="2"/>
  <c r="CC43" i="2"/>
  <c r="CA43" i="2"/>
  <c r="BZ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H43" i="2"/>
  <c r="BE43" i="2"/>
  <c r="BC43" i="2"/>
  <c r="BC137" i="2" s="1"/>
  <c r="AZ43" i="2"/>
  <c r="BY43" i="2" s="1"/>
  <c r="AJ43" i="2"/>
  <c r="BI43" i="2" s="1"/>
  <c r="AF43" i="2"/>
  <c r="G43" i="2" s="1"/>
  <c r="I43" i="2" s="1"/>
  <c r="AD43" i="2"/>
  <c r="AD137" i="2" s="1"/>
  <c r="EB42" i="2"/>
  <c r="EA42" i="2"/>
  <c r="DZ42" i="2"/>
  <c r="DY42" i="2"/>
  <c r="DX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D42" i="2"/>
  <c r="CC42" i="2"/>
  <c r="CB42" i="2"/>
  <c r="CA42" i="2"/>
  <c r="BZ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Z42" i="2"/>
  <c r="AP42" i="2"/>
  <c r="BO42" i="2" s="1"/>
  <c r="AA42" i="2"/>
  <c r="Q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DX41" i="2" s="1"/>
  <c r="CN41" i="2"/>
  <c r="DM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BZ41" i="2" s="1"/>
  <c r="AP41" i="2"/>
  <c r="BO41" i="2" s="1"/>
  <c r="I41" i="2"/>
  <c r="G41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G40" i="2"/>
  <c r="DF40" i="2"/>
  <c r="DC40" i="2"/>
  <c r="CN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E40" i="2"/>
  <c r="AP40" i="2"/>
  <c r="AH40" i="2"/>
  <c r="AF40" i="2"/>
  <c r="CD40" i="2" s="1"/>
  <c r="Q40" i="2"/>
  <c r="EB39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L39" i="2"/>
  <c r="DK39" i="2"/>
  <c r="DJ39" i="2"/>
  <c r="DI39" i="2"/>
  <c r="DH39" i="2"/>
  <c r="DF39" i="2"/>
  <c r="CN39" i="2"/>
  <c r="CH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N39" i="2"/>
  <c r="BM39" i="2"/>
  <c r="BL39" i="2"/>
  <c r="BK39" i="2"/>
  <c r="BJ39" i="2"/>
  <c r="BH39" i="2"/>
  <c r="AP39" i="2"/>
  <c r="AJ39" i="2"/>
  <c r="BI39" i="2" s="1"/>
  <c r="Q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DC38" i="2"/>
  <c r="CN38" i="2" s="1"/>
  <c r="CP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P38" i="2"/>
  <c r="BO38" i="2"/>
  <c r="BN38" i="2"/>
  <c r="BM38" i="2"/>
  <c r="BL38" i="2"/>
  <c r="BK38" i="2"/>
  <c r="BJ38" i="2"/>
  <c r="BI38" i="2"/>
  <c r="BH38" i="2"/>
  <c r="BE38" i="2"/>
  <c r="CD38" i="2" s="1"/>
  <c r="AR38" i="2"/>
  <c r="AP38" i="2"/>
  <c r="AF38" i="2"/>
  <c r="EB38" i="2" s="1"/>
  <c r="S38" i="2"/>
  <c r="Q38" i="2"/>
  <c r="H38" i="2"/>
  <c r="G38" i="2"/>
  <c r="I38" i="2" s="1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DC37" i="2"/>
  <c r="EB37" i="2" s="1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CD37" i="2" s="1"/>
  <c r="AP37" i="2"/>
  <c r="AF37" i="2"/>
  <c r="Q37" i="2"/>
  <c r="H37" i="2"/>
  <c r="H50" i="2" s="1"/>
  <c r="EA36" i="2"/>
  <c r="DZ36" i="2"/>
  <c r="DY36" i="2"/>
  <c r="DX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DC36" i="2"/>
  <c r="CX36" i="2"/>
  <c r="CN36" i="2"/>
  <c r="CC36" i="2"/>
  <c r="CB36" i="2"/>
  <c r="CA36" i="2"/>
  <c r="BZ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BE36" i="2"/>
  <c r="AZ36" i="2"/>
  <c r="AP36" i="2"/>
  <c r="AF36" i="2"/>
  <c r="AA36" i="2"/>
  <c r="Q36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F35" i="2"/>
  <c r="CN35" i="2"/>
  <c r="CH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H35" i="2"/>
  <c r="BE35" i="2"/>
  <c r="AP35" i="2"/>
  <c r="AJ35" i="2"/>
  <c r="BI35" i="2" s="1"/>
  <c r="AF35" i="2"/>
  <c r="Q35" i="2"/>
  <c r="BO35" i="2" s="1"/>
  <c r="G35" i="2"/>
  <c r="I35" i="2" s="1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N34" i="2"/>
  <c r="CF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BZ34" i="2" s="1"/>
  <c r="AP34" i="2"/>
  <c r="AF34" i="2"/>
  <c r="EB34" i="2" s="1"/>
  <c r="Q34" i="2"/>
  <c r="BO34" i="2" s="1"/>
  <c r="G34" i="2"/>
  <c r="I34" i="2" s="1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EB33" i="2" s="1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AP33" i="2"/>
  <c r="AH33" i="2" s="1"/>
  <c r="AF33" i="2"/>
  <c r="Q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CF32" i="2" s="1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AP32" i="2"/>
  <c r="Q32" i="2"/>
  <c r="Q50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G31" i="2"/>
  <c r="I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 s="1"/>
  <c r="CN30" i="2"/>
  <c r="CF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AP30" i="2"/>
  <c r="AH30" i="2" s="1"/>
  <c r="Q30" i="2"/>
  <c r="G30" i="2" s="1"/>
  <c r="I30" i="2" s="1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L29" i="2"/>
  <c r="DK29" i="2"/>
  <c r="DJ29" i="2"/>
  <c r="DI29" i="2"/>
  <c r="DH29" i="2"/>
  <c r="DG29" i="2"/>
  <c r="DF29" i="2"/>
  <c r="CY29" i="2"/>
  <c r="CQ29" i="2"/>
  <c r="CO29" i="2"/>
  <c r="CN29" i="2"/>
  <c r="CF29" i="2" s="1"/>
  <c r="CD29" i="2"/>
  <c r="CC29" i="2"/>
  <c r="CB29" i="2"/>
  <c r="CA29" i="2"/>
  <c r="BY29" i="2"/>
  <c r="BX29" i="2"/>
  <c r="BW29" i="2"/>
  <c r="BV29" i="2"/>
  <c r="BU29" i="2"/>
  <c r="BT29" i="2"/>
  <c r="BS29" i="2"/>
  <c r="BQ29" i="2"/>
  <c r="BO29" i="2"/>
  <c r="BN29" i="2"/>
  <c r="BM29" i="2"/>
  <c r="BL29" i="2"/>
  <c r="BK29" i="2"/>
  <c r="BJ29" i="2"/>
  <c r="BI29" i="2"/>
  <c r="BH29" i="2"/>
  <c r="BA29" i="2"/>
  <c r="AS29" i="2"/>
  <c r="BR29" i="2" s="1"/>
  <c r="AQ29" i="2"/>
  <c r="AH29" i="2" s="1"/>
  <c r="AP29" i="2"/>
  <c r="R29" i="2"/>
  <c r="Q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/>
  <c r="Q28" i="2"/>
  <c r="DM28" i="2" s="1"/>
  <c r="G28" i="2"/>
  <c r="I28" i="2" s="1"/>
  <c r="EA27" i="2"/>
  <c r="DZ27" i="2"/>
  <c r="DY27" i="2"/>
  <c r="DX27" i="2"/>
  <c r="DW27" i="2"/>
  <c r="DV27" i="2"/>
  <c r="DU27" i="2"/>
  <c r="DS27" i="2"/>
  <c r="DR27" i="2"/>
  <c r="DQ27" i="2"/>
  <c r="DO27" i="2"/>
  <c r="DL27" i="2"/>
  <c r="DK27" i="2"/>
  <c r="DJ27" i="2"/>
  <c r="DI27" i="2"/>
  <c r="DI50" i="2" s="1"/>
  <c r="DH27" i="2"/>
  <c r="DG27" i="2"/>
  <c r="DF27" i="2"/>
  <c r="DC27" i="2"/>
  <c r="CU27" i="2"/>
  <c r="CQ27" i="2"/>
  <c r="DP27" i="2" s="1"/>
  <c r="CP27" i="2"/>
  <c r="CO27" i="2"/>
  <c r="CD27" i="2"/>
  <c r="CC27" i="2"/>
  <c r="CB27" i="2"/>
  <c r="CA27" i="2"/>
  <c r="BZ27" i="2"/>
  <c r="BY27" i="2"/>
  <c r="BX27" i="2"/>
  <c r="BW27" i="2"/>
  <c r="BU27" i="2"/>
  <c r="BT27" i="2"/>
  <c r="BS27" i="2"/>
  <c r="BR27" i="2"/>
  <c r="BP27" i="2"/>
  <c r="BN27" i="2"/>
  <c r="BM27" i="2"/>
  <c r="BL27" i="2"/>
  <c r="BK27" i="2"/>
  <c r="BJ27" i="2"/>
  <c r="BI27" i="2"/>
  <c r="BH27" i="2"/>
  <c r="BE27" i="2"/>
  <c r="AW27" i="2"/>
  <c r="AS27" i="2"/>
  <c r="AR27" i="2"/>
  <c r="AQ27" i="2"/>
  <c r="AP27" i="2"/>
  <c r="AF27" i="2"/>
  <c r="X27" i="2"/>
  <c r="S27" i="2"/>
  <c r="BQ27" i="2" s="1"/>
  <c r="R27" i="2"/>
  <c r="G27" i="2" s="1"/>
  <c r="I27" i="2" s="1"/>
  <c r="Q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F26" i="2"/>
  <c r="CN26" i="2"/>
  <c r="DM26" i="2" s="1"/>
  <c r="CH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H26" i="2"/>
  <c r="AJ26" i="2"/>
  <c r="BI26" i="2" s="1"/>
  <c r="Q26" i="2"/>
  <c r="G26" i="2"/>
  <c r="I26" i="2" s="1"/>
  <c r="EB25" i="2"/>
  <c r="EA25" i="2"/>
  <c r="DZ25" i="2"/>
  <c r="DY25" i="2"/>
  <c r="DX25" i="2"/>
  <c r="DW25" i="2"/>
  <c r="DV25" i="2"/>
  <c r="DU25" i="2"/>
  <c r="DS25" i="2"/>
  <c r="DR25" i="2"/>
  <c r="DQ25" i="2"/>
  <c r="DL25" i="2"/>
  <c r="DK25" i="2"/>
  <c r="DJ25" i="2"/>
  <c r="DI25" i="2"/>
  <c r="DH25" i="2"/>
  <c r="DG25" i="2"/>
  <c r="DF25" i="2"/>
  <c r="CU25" i="2"/>
  <c r="CU137" i="2" s="1"/>
  <c r="CQ25" i="2"/>
  <c r="CP25" i="2"/>
  <c r="CP137" i="2" s="1"/>
  <c r="CO25" i="2"/>
  <c r="CO137" i="2" s="1"/>
  <c r="CN25" i="2"/>
  <c r="CF25" i="2"/>
  <c r="CD25" i="2"/>
  <c r="CC25" i="2"/>
  <c r="CB25" i="2"/>
  <c r="CA25" i="2"/>
  <c r="BZ25" i="2"/>
  <c r="BY25" i="2"/>
  <c r="BX25" i="2"/>
  <c r="BW25" i="2"/>
  <c r="BU25" i="2"/>
  <c r="BT25" i="2"/>
  <c r="BS25" i="2"/>
  <c r="BN25" i="2"/>
  <c r="BM25" i="2"/>
  <c r="BL25" i="2"/>
  <c r="BK25" i="2"/>
  <c r="BJ25" i="2"/>
  <c r="BI25" i="2"/>
  <c r="BH25" i="2"/>
  <c r="AW25" i="2"/>
  <c r="AS25" i="2"/>
  <c r="AR25" i="2"/>
  <c r="AQ25" i="2"/>
  <c r="AP25" i="2"/>
  <c r="X25" i="2"/>
  <c r="S25" i="2"/>
  <c r="R25" i="2"/>
  <c r="Q25" i="2"/>
  <c r="DB24" i="2"/>
  <c r="DA24" i="2"/>
  <c r="CZ24" i="2"/>
  <c r="CX24" i="2"/>
  <c r="CV24" i="2"/>
  <c r="CU24" i="2"/>
  <c r="CT24" i="2"/>
  <c r="CS24" i="2"/>
  <c r="CQ24" i="2"/>
  <c r="CP24" i="2"/>
  <c r="CO24" i="2"/>
  <c r="CN24" i="2"/>
  <c r="CM24" i="2"/>
  <c r="CL24" i="2"/>
  <c r="CK24" i="2"/>
  <c r="CI24" i="2"/>
  <c r="CG24" i="2"/>
  <c r="BC24" i="2"/>
  <c r="BB24" i="2"/>
  <c r="AZ24" i="2"/>
  <c r="AX24" i="2"/>
  <c r="AW24" i="2"/>
  <c r="AV24" i="2"/>
  <c r="AU24" i="2"/>
  <c r="AS24" i="2"/>
  <c r="AR24" i="2"/>
  <c r="AQ24" i="2"/>
  <c r="AP24" i="2"/>
  <c r="AO24" i="2"/>
  <c r="AN24" i="2"/>
  <c r="AM24" i="2"/>
  <c r="AK24" i="2"/>
  <c r="AI24" i="2"/>
  <c r="AD24" i="2"/>
  <c r="AC24" i="2"/>
  <c r="AB24" i="2"/>
  <c r="Z24" i="2"/>
  <c r="Y24" i="2"/>
  <c r="X24" i="2"/>
  <c r="W24" i="2"/>
  <c r="V24" i="2"/>
  <c r="T24" i="2"/>
  <c r="T131" i="2" s="1"/>
  <c r="S24" i="2"/>
  <c r="R24" i="2"/>
  <c r="Q24" i="2"/>
  <c r="P24" i="2"/>
  <c r="O24" i="2"/>
  <c r="O131" i="2" s="1"/>
  <c r="N24" i="2"/>
  <c r="L24" i="2"/>
  <c r="J24" i="2"/>
  <c r="H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W23" i="2"/>
  <c r="CR23" i="2"/>
  <c r="CR24" i="2" s="1"/>
  <c r="CH23" i="2"/>
  <c r="DG23" i="2" s="1"/>
  <c r="CD23" i="2"/>
  <c r="CC23" i="2"/>
  <c r="CB23" i="2"/>
  <c r="CA23" i="2"/>
  <c r="BZ23" i="2"/>
  <c r="BY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I23" i="2"/>
  <c r="BH23" i="2"/>
  <c r="AY23" i="2"/>
  <c r="BX23" i="2" s="1"/>
  <c r="AT23" i="2"/>
  <c r="AJ23" i="2"/>
  <c r="G23" i="2"/>
  <c r="I23" i="2" s="1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DG22" i="2" s="1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E22" i="2"/>
  <c r="AJ22" i="2"/>
  <c r="AH22" i="2"/>
  <c r="AF22" i="2"/>
  <c r="K22" i="2"/>
  <c r="EB21" i="2"/>
  <c r="EA21" i="2"/>
  <c r="DZ21" i="2"/>
  <c r="DY21" i="2"/>
  <c r="DX21" i="2"/>
  <c r="DW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W21" i="2"/>
  <c r="DV21" i="2" s="1"/>
  <c r="CD21" i="2"/>
  <c r="CC21" i="2"/>
  <c r="CB21" i="2"/>
  <c r="CA21" i="2"/>
  <c r="BZ21" i="2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Y21" i="2"/>
  <c r="G21" i="2"/>
  <c r="I21" i="2" s="1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G20" i="2"/>
  <c r="I20" i="2" s="1"/>
  <c r="EB19" i="2"/>
  <c r="EA19" i="2"/>
  <c r="DZ19" i="2"/>
  <c r="DY19" i="2"/>
  <c r="DX19" i="2"/>
  <c r="DW19" i="2"/>
  <c r="DU19" i="2"/>
  <c r="DT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CW19" i="2"/>
  <c r="DV19" i="2" s="1"/>
  <c r="CD19" i="2"/>
  <c r="CC19" i="2"/>
  <c r="CB19" i="2"/>
  <c r="CA19" i="2"/>
  <c r="BZ19" i="2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AY19" i="2"/>
  <c r="I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U18" i="2"/>
  <c r="EA17" i="2"/>
  <c r="DZ17" i="2"/>
  <c r="DY17" i="2"/>
  <c r="DW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Y17" i="2"/>
  <c r="CY138" i="2" s="1"/>
  <c r="CW17" i="2"/>
  <c r="CC17" i="2"/>
  <c r="CB17" i="2"/>
  <c r="CA17" i="2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CD17" i="2" s="1"/>
  <c r="BA17" i="2"/>
  <c r="BA138" i="2" s="1"/>
  <c r="AY17" i="2"/>
  <c r="AF17" i="2"/>
  <c r="AB17" i="2"/>
  <c r="G17" i="2"/>
  <c r="I17" i="2" s="1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E16" i="2" s="1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H16" i="2"/>
  <c r="K16" i="2"/>
  <c r="BI16" i="2" s="1"/>
  <c r="EA15" i="2"/>
  <c r="DZ15" i="2"/>
  <c r="DY15" i="2"/>
  <c r="DX15" i="2"/>
  <c r="DW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W15" i="2"/>
  <c r="CF15" i="2" s="1"/>
  <c r="CH15" i="2"/>
  <c r="CC15" i="2"/>
  <c r="CB15" i="2"/>
  <c r="CA15" i="2"/>
  <c r="BZ15" i="2"/>
  <c r="BY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Y15" i="2"/>
  <c r="BX15" i="2" s="1"/>
  <c r="AJ15" i="2"/>
  <c r="AF15" i="2"/>
  <c r="CD15" i="2" s="1"/>
  <c r="U15" i="2"/>
  <c r="BS15" i="2" s="1"/>
  <c r="K15" i="2"/>
  <c r="G15" i="2"/>
  <c r="I15" i="2" s="1"/>
  <c r="EA14" i="2"/>
  <c r="DZ14" i="2"/>
  <c r="DY14" i="2"/>
  <c r="DX14" i="2"/>
  <c r="DW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CW14" i="2"/>
  <c r="CC14" i="2"/>
  <c r="CB14" i="2"/>
  <c r="CA14" i="2"/>
  <c r="BZ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AY14" i="2"/>
  <c r="AF14" i="2"/>
  <c r="EB14" i="2" s="1"/>
  <c r="EA13" i="2"/>
  <c r="DZ13" i="2"/>
  <c r="DY13" i="2"/>
  <c r="DX13" i="2"/>
  <c r="DW13" i="2"/>
  <c r="DU13" i="2"/>
  <c r="DT13" i="2"/>
  <c r="DS13" i="2"/>
  <c r="DR13" i="2"/>
  <c r="DP13" i="2"/>
  <c r="DO13" i="2"/>
  <c r="DN13" i="2"/>
  <c r="DM13" i="2"/>
  <c r="DL13" i="2"/>
  <c r="DK13" i="2"/>
  <c r="DJ13" i="2"/>
  <c r="DH13" i="2"/>
  <c r="DF13" i="2"/>
  <c r="DC13" i="2"/>
  <c r="DC136" i="2" s="1"/>
  <c r="CW13" i="2"/>
  <c r="CR13" i="2"/>
  <c r="CR136" i="2" s="1"/>
  <c r="CJ13" i="2"/>
  <c r="CJ136" i="2" s="1"/>
  <c r="CH13" i="2"/>
  <c r="CH136" i="2" s="1"/>
  <c r="CF13" i="2"/>
  <c r="CC13" i="2"/>
  <c r="CB13" i="2"/>
  <c r="CA13" i="2"/>
  <c r="BZ13" i="2"/>
  <c r="BY13" i="2"/>
  <c r="BW13" i="2"/>
  <c r="BV13" i="2"/>
  <c r="BU13" i="2"/>
  <c r="BT13" i="2"/>
  <c r="BR13" i="2"/>
  <c r="BQ13" i="2"/>
  <c r="BP13" i="2"/>
  <c r="BO13" i="2"/>
  <c r="BN13" i="2"/>
  <c r="BM13" i="2"/>
  <c r="BL13" i="2"/>
  <c r="BJ13" i="2"/>
  <c r="BH13" i="2"/>
  <c r="BE13" i="2"/>
  <c r="BE136" i="2" s="1"/>
  <c r="AY13" i="2"/>
  <c r="BX13" i="2" s="1"/>
  <c r="AT13" i="2"/>
  <c r="AT136" i="2" s="1"/>
  <c r="AL13" i="2"/>
  <c r="AL136" i="2" s="1"/>
  <c r="AJ13" i="2"/>
  <c r="AF13" i="2"/>
  <c r="AF136" i="2" s="1"/>
  <c r="U13" i="2"/>
  <c r="M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N136" i="2" s="1"/>
  <c r="DM12" i="2"/>
  <c r="DL12" i="2"/>
  <c r="DK12" i="2"/>
  <c r="DJ12" i="2"/>
  <c r="DJ136" i="2" s="1"/>
  <c r="DH12" i="2"/>
  <c r="DG12" i="2"/>
  <c r="DF12" i="2"/>
  <c r="CF12" i="2"/>
  <c r="CD12" i="2"/>
  <c r="CC12" i="2"/>
  <c r="CB12" i="2"/>
  <c r="CA12" i="2"/>
  <c r="CA136" i="2" s="1"/>
  <c r="BZ12" i="2"/>
  <c r="BY12" i="2"/>
  <c r="BX12" i="2"/>
  <c r="BW12" i="2"/>
  <c r="BW136" i="2" s="1"/>
  <c r="BV12" i="2"/>
  <c r="BU12" i="2"/>
  <c r="BT12" i="2"/>
  <c r="BS12" i="2"/>
  <c r="BR12" i="2"/>
  <c r="BQ12" i="2"/>
  <c r="BP12" i="2"/>
  <c r="BO12" i="2"/>
  <c r="BO136" i="2" s="1"/>
  <c r="BN12" i="2"/>
  <c r="BM12" i="2"/>
  <c r="BL12" i="2"/>
  <c r="BJ12" i="2"/>
  <c r="BJ136" i="2" s="1"/>
  <c r="BI12" i="2"/>
  <c r="BH12" i="2"/>
  <c r="AH12" i="2"/>
  <c r="M12" i="2"/>
  <c r="DI12" i="2" s="1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AH11" i="2"/>
  <c r="AE11" i="2"/>
  <c r="K11" i="2"/>
  <c r="BI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 s="1"/>
  <c r="CF10" i="2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J10" i="2"/>
  <c r="BI10" i="2"/>
  <c r="BH10" i="2"/>
  <c r="BD10" i="2"/>
  <c r="BD138" i="2" s="1"/>
  <c r="AL10" i="2"/>
  <c r="BK10" i="2" s="1"/>
  <c r="G10" i="2"/>
  <c r="CE10" i="2" s="1"/>
  <c r="DD10" i="2" s="1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W9" i="2"/>
  <c r="DV9" i="2" s="1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Y9" i="2"/>
  <c r="BX9" i="2" s="1"/>
  <c r="AF9" i="2"/>
  <c r="EB9" i="2" s="1"/>
  <c r="EB8" i="2"/>
  <c r="EA8" i="2"/>
  <c r="DZ8" i="2"/>
  <c r="DY8" i="2"/>
  <c r="DX8" i="2"/>
  <c r="DW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W8" i="2"/>
  <c r="DV8" i="2" s="1"/>
  <c r="CH8" i="2"/>
  <c r="CD8" i="2"/>
  <c r="CC8" i="2"/>
  <c r="CB8" i="2"/>
  <c r="CA8" i="2"/>
  <c r="BZ8" i="2"/>
  <c r="BY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Y8" i="2"/>
  <c r="BX8" i="2" s="1"/>
  <c r="AJ8" i="2"/>
  <c r="G8" i="2"/>
  <c r="I8" i="2" s="1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CF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AG7" i="2" s="1"/>
  <c r="BF7" i="2" s="1"/>
  <c r="K7" i="2"/>
  <c r="G7" i="2"/>
  <c r="I7" i="2" s="1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H6" i="2"/>
  <c r="CC6" i="2"/>
  <c r="CB6" i="2"/>
  <c r="CA6" i="2"/>
  <c r="BZ6" i="2"/>
  <c r="BY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Y6" i="2"/>
  <c r="AJ6" i="2"/>
  <c r="AF6" i="2"/>
  <c r="AF138" i="2" s="1"/>
  <c r="AA6" i="2"/>
  <c r="K6" i="2"/>
  <c r="G6" i="2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V137" i="1"/>
  <c r="AU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T137" i="1"/>
  <c r="P137" i="1"/>
  <c r="O137" i="1"/>
  <c r="N137" i="1"/>
  <c r="M137" i="1"/>
  <c r="L137" i="1"/>
  <c r="J137" i="1"/>
  <c r="DB136" i="1"/>
  <c r="DA136" i="1"/>
  <c r="CZ136" i="1"/>
  <c r="CY136" i="1"/>
  <c r="CX136" i="1"/>
  <c r="CV136" i="1"/>
  <c r="CU136" i="1"/>
  <c r="CT136" i="1"/>
  <c r="CS136" i="1"/>
  <c r="CQ136" i="1"/>
  <c r="CP136" i="1"/>
  <c r="CO136" i="1"/>
  <c r="CN136" i="1"/>
  <c r="CM136" i="1"/>
  <c r="CL136" i="1"/>
  <c r="CK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E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A134" i="1"/>
  <c r="CZ134" i="1"/>
  <c r="CW134" i="1"/>
  <c r="CV134" i="1"/>
  <c r="CU134" i="1"/>
  <c r="CT134" i="1"/>
  <c r="CS134" i="1"/>
  <c r="CQ134" i="1"/>
  <c r="CP134" i="1"/>
  <c r="CO134" i="1"/>
  <c r="CN134" i="1"/>
  <c r="CL134" i="1"/>
  <c r="CK134" i="1"/>
  <c r="CI134" i="1"/>
  <c r="CG134" i="1"/>
  <c r="BC134" i="1"/>
  <c r="AY134" i="1"/>
  <c r="AX134" i="1"/>
  <c r="AV134" i="1"/>
  <c r="AS134" i="1"/>
  <c r="AQ134" i="1"/>
  <c r="AP134" i="1"/>
  <c r="AN134" i="1"/>
  <c r="AM134" i="1"/>
  <c r="AK134" i="1"/>
  <c r="AB134" i="1"/>
  <c r="Z134" i="1"/>
  <c r="Y134" i="1"/>
  <c r="X134" i="1"/>
  <c r="W134" i="1"/>
  <c r="V134" i="1"/>
  <c r="T134" i="1"/>
  <c r="R134" i="1"/>
  <c r="P134" i="1"/>
  <c r="O134" i="1"/>
  <c r="N134" i="1"/>
  <c r="L134" i="1"/>
  <c r="DB133" i="1"/>
  <c r="DA133" i="1"/>
  <c r="CZ133" i="1"/>
  <c r="CY133" i="1"/>
  <c r="CW133" i="1"/>
  <c r="CV133" i="1"/>
  <c r="CU133" i="1"/>
  <c r="CS133" i="1"/>
  <c r="CR133" i="1"/>
  <c r="CQ133" i="1"/>
  <c r="CP133" i="1"/>
  <c r="CO133" i="1"/>
  <c r="CN133" i="1"/>
  <c r="CM133" i="1"/>
  <c r="CL133" i="1"/>
  <c r="CI133" i="1"/>
  <c r="CH133" i="1"/>
  <c r="BC133" i="1"/>
  <c r="BB133" i="1"/>
  <c r="BA133" i="1"/>
  <c r="AY133" i="1"/>
  <c r="AX133" i="1"/>
  <c r="AU133" i="1"/>
  <c r="AT133" i="1"/>
  <c r="AR133" i="1"/>
  <c r="AQ133" i="1"/>
  <c r="AP133" i="1"/>
  <c r="AO133" i="1"/>
  <c r="AN133" i="1"/>
  <c r="AK133" i="1"/>
  <c r="AD133" i="1"/>
  <c r="AC133" i="1"/>
  <c r="AB133" i="1"/>
  <c r="AA133" i="1"/>
  <c r="Z133" i="1"/>
  <c r="Y133" i="1"/>
  <c r="X133" i="1"/>
  <c r="W133" i="1"/>
  <c r="U133" i="1"/>
  <c r="T133" i="1"/>
  <c r="Q133" i="1"/>
  <c r="P133" i="1"/>
  <c r="O133" i="1"/>
  <c r="N133" i="1"/>
  <c r="L133" i="1"/>
  <c r="L140" i="1" s="1"/>
  <c r="J133" i="1"/>
  <c r="DA129" i="1"/>
  <c r="CZ129" i="1"/>
  <c r="CW129" i="1"/>
  <c r="CV129" i="1"/>
  <c r="CU129" i="1"/>
  <c r="CS129" i="1"/>
  <c r="CQ129" i="1"/>
  <c r="CP129" i="1"/>
  <c r="CO129" i="1"/>
  <c r="CN129" i="1"/>
  <c r="CL129" i="1"/>
  <c r="CI129" i="1"/>
  <c r="BC129" i="1"/>
  <c r="AY129" i="1"/>
  <c r="AX129" i="1"/>
  <c r="AQ129" i="1"/>
  <c r="AP129" i="1"/>
  <c r="AN129" i="1"/>
  <c r="AK129" i="1"/>
  <c r="AD129" i="1"/>
  <c r="Z129" i="1"/>
  <c r="Y129" i="1"/>
  <c r="X129" i="1"/>
  <c r="W129" i="1"/>
  <c r="T129" i="1"/>
  <c r="P129" i="1"/>
  <c r="O129" i="1"/>
  <c r="N129" i="1"/>
  <c r="L129" i="1"/>
  <c r="H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CH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AJ128" i="1"/>
  <c r="AF128" i="1"/>
  <c r="K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AG127" i="1" s="1"/>
  <c r="BF127" i="1" s="1"/>
  <c r="K127" i="1"/>
  <c r="G127" i="1" s="1"/>
  <c r="EB126" i="1"/>
  <c r="EA126" i="1"/>
  <c r="DZ126" i="1"/>
  <c r="DY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Y126" i="1"/>
  <c r="CX126" i="1"/>
  <c r="CH126" i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AZ126" i="1"/>
  <c r="AJ126" i="1"/>
  <c r="AB126" i="1"/>
  <c r="AA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F125" i="1"/>
  <c r="DC125" i="1"/>
  <c r="CH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H125" i="1"/>
  <c r="BE125" i="1"/>
  <c r="AJ125" i="1"/>
  <c r="AF125" i="1"/>
  <c r="K125" i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Y124" i="1"/>
  <c r="CH124" i="1"/>
  <c r="DG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BA124" i="1"/>
  <c r="AJ124" i="1"/>
  <c r="AB124" i="1"/>
  <c r="EB123" i="1"/>
  <c r="EA123" i="1"/>
  <c r="DZ123" i="1"/>
  <c r="DY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Y123" i="1"/>
  <c r="DX123" i="1" s="1"/>
  <c r="CX123" i="1"/>
  <c r="CH123" i="1"/>
  <c r="CD123" i="1"/>
  <c r="CC123" i="1"/>
  <c r="CB123" i="1"/>
  <c r="CA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BA123" i="1"/>
  <c r="BZ123" i="1" s="1"/>
  <c r="AZ123" i="1"/>
  <c r="AJ123" i="1"/>
  <c r="AA123" i="1"/>
  <c r="G123" i="1" s="1"/>
  <c r="K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AJ122" i="1"/>
  <c r="BI122" i="1" s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H121" i="1"/>
  <c r="CF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AH121" i="1" s="1"/>
  <c r="AG121" i="1" s="1"/>
  <c r="BF121" i="1" s="1"/>
  <c r="K121" i="1"/>
  <c r="G121" i="1" s="1"/>
  <c r="I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DG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A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J119" i="1"/>
  <c r="BE119" i="1"/>
  <c r="AL119" i="1"/>
  <c r="AJ119" i="1"/>
  <c r="BI119" i="1" s="1"/>
  <c r="AI119" i="1"/>
  <c r="M119" i="1"/>
  <c r="DI119" i="1" s="1"/>
  <c r="J119" i="1"/>
  <c r="G119" i="1" s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Y118" i="1"/>
  <c r="CX118" i="1"/>
  <c r="CH118" i="1"/>
  <c r="CF118" i="1" s="1"/>
  <c r="CD118" i="1"/>
  <c r="CC118" i="1"/>
  <c r="CB118" i="1"/>
  <c r="CA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BA118" i="1"/>
  <c r="BZ118" i="1" s="1"/>
  <c r="AZ118" i="1"/>
  <c r="AJ118" i="1"/>
  <c r="BI118" i="1" s="1"/>
  <c r="AA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AJ117" i="1"/>
  <c r="BI117" i="1" s="1"/>
  <c r="AA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CH116" i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J116" i="1"/>
  <c r="BI116" i="1" s="1"/>
  <c r="AA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C115" i="1"/>
  <c r="CX115" i="1"/>
  <c r="CH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E115" i="1"/>
  <c r="AZ115" i="1"/>
  <c r="BY115" i="1" s="1"/>
  <c r="AJ115" i="1"/>
  <c r="AI115" i="1"/>
  <c r="AF115" i="1"/>
  <c r="K115" i="1"/>
  <c r="J115" i="1"/>
  <c r="DF115" i="1" s="1"/>
  <c r="EA114" i="1"/>
  <c r="DZ114" i="1"/>
  <c r="DY114" i="1"/>
  <c r="DX114" i="1"/>
  <c r="DV114" i="1"/>
  <c r="DU114" i="1"/>
  <c r="DT114" i="1"/>
  <c r="DS114" i="1"/>
  <c r="DR114" i="1"/>
  <c r="DP114" i="1"/>
  <c r="DO114" i="1"/>
  <c r="DN114" i="1"/>
  <c r="DM114" i="1"/>
  <c r="DK114" i="1"/>
  <c r="DJ114" i="1"/>
  <c r="DI114" i="1"/>
  <c r="DH114" i="1"/>
  <c r="DG114" i="1"/>
  <c r="DF114" i="1"/>
  <c r="CX114" i="1"/>
  <c r="CR114" i="1"/>
  <c r="DQ114" i="1" s="1"/>
  <c r="CM114" i="1"/>
  <c r="DL114" i="1" s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BE114" i="1"/>
  <c r="AZ114" i="1"/>
  <c r="BY114" i="1" s="1"/>
  <c r="AT114" i="1"/>
  <c r="AO114" i="1"/>
  <c r="AF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CD113" i="1" s="1"/>
  <c r="AW113" i="1"/>
  <c r="AU113" i="1"/>
  <c r="BT113" i="1" s="1"/>
  <c r="AR113" i="1"/>
  <c r="AF113" i="1"/>
  <c r="S113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C112" i="1"/>
  <c r="CF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AF112" i="1"/>
  <c r="G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G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BH110" i="1"/>
  <c r="AH110" i="1"/>
  <c r="G110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H109" i="1"/>
  <c r="BE109" i="1"/>
  <c r="AH109" i="1" s="1"/>
  <c r="AF109" i="1"/>
  <c r="K109" i="1"/>
  <c r="G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H108" i="1"/>
  <c r="DG108" i="1"/>
  <c r="DF108" i="1"/>
  <c r="CJ108" i="1"/>
  <c r="CF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J108" i="1"/>
  <c r="BI108" i="1"/>
  <c r="BH108" i="1"/>
  <c r="AL108" i="1"/>
  <c r="AH108" i="1"/>
  <c r="Q108" i="1"/>
  <c r="DM108" i="1" s="1"/>
  <c r="M108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F107" i="1"/>
  <c r="DC107" i="1"/>
  <c r="CJ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BE107" i="1"/>
  <c r="AL107" i="1"/>
  <c r="AF107" i="1"/>
  <c r="M107" i="1"/>
  <c r="K107" i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H106" i="1"/>
  <c r="DG106" i="1"/>
  <c r="DF106" i="1"/>
  <c r="DC106" i="1"/>
  <c r="CR106" i="1"/>
  <c r="CJ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O106" i="1"/>
  <c r="BN106" i="1"/>
  <c r="BM106" i="1"/>
  <c r="BL106" i="1"/>
  <c r="BJ106" i="1"/>
  <c r="BI106" i="1"/>
  <c r="BH106" i="1"/>
  <c r="BE106" i="1"/>
  <c r="AT106" i="1"/>
  <c r="AL106" i="1"/>
  <c r="AF106" i="1"/>
  <c r="U106" i="1"/>
  <c r="Q106" i="1"/>
  <c r="M106" i="1"/>
  <c r="EB105" i="1"/>
  <c r="EA105" i="1"/>
  <c r="DZ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C105" i="1"/>
  <c r="CB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J105" i="1"/>
  <c r="BI105" i="1"/>
  <c r="BH105" i="1"/>
  <c r="BE105" i="1"/>
  <c r="BB105" i="1"/>
  <c r="AL105" i="1"/>
  <c r="BK105" i="1" s="1"/>
  <c r="AF105" i="1"/>
  <c r="AC105" i="1"/>
  <c r="DY105" i="1" s="1"/>
  <c r="U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F104" i="1"/>
  <c r="DC104" i="1"/>
  <c r="CF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J104" i="1"/>
  <c r="BH104" i="1"/>
  <c r="BE104" i="1"/>
  <c r="AL104" i="1"/>
  <c r="AH104" i="1" s="1"/>
  <c r="AF104" i="1"/>
  <c r="M104" i="1"/>
  <c r="K104" i="1"/>
  <c r="DZ103" i="1"/>
  <c r="DY103" i="1"/>
  <c r="DX103" i="1"/>
  <c r="DW103" i="1"/>
  <c r="DV103" i="1"/>
  <c r="DU103" i="1"/>
  <c r="DT103" i="1"/>
  <c r="DS103" i="1"/>
  <c r="DR103" i="1"/>
  <c r="DQ103" i="1"/>
  <c r="DP103" i="1"/>
  <c r="DN103" i="1"/>
  <c r="DL103" i="1"/>
  <c r="DK103" i="1"/>
  <c r="DJ103" i="1"/>
  <c r="DH103" i="1"/>
  <c r="DF103" i="1"/>
  <c r="DC103" i="1"/>
  <c r="DB103" i="1"/>
  <c r="CB103" i="1"/>
  <c r="CA103" i="1"/>
  <c r="BZ103" i="1"/>
  <c r="BY103" i="1"/>
  <c r="BX103" i="1"/>
  <c r="BW103" i="1"/>
  <c r="BV103" i="1"/>
  <c r="BU103" i="1"/>
  <c r="BT103" i="1"/>
  <c r="BS103" i="1"/>
  <c r="BR103" i="1"/>
  <c r="BP103" i="1"/>
  <c r="BN103" i="1"/>
  <c r="BM103" i="1"/>
  <c r="BL103" i="1"/>
  <c r="BJ103" i="1"/>
  <c r="BH103" i="1"/>
  <c r="BE103" i="1"/>
  <c r="BD103" i="1"/>
  <c r="BD134" i="1" s="1"/>
  <c r="AL103" i="1"/>
  <c r="AJ103" i="1"/>
  <c r="AF103" i="1"/>
  <c r="AE103" i="1"/>
  <c r="CC103" i="1" s="1"/>
  <c r="CC134" i="1" s="1"/>
  <c r="S103" i="1"/>
  <c r="Q103" i="1"/>
  <c r="BO103" i="1" s="1"/>
  <c r="M103" i="1"/>
  <c r="K103" i="1"/>
  <c r="BI103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H102" i="1"/>
  <c r="DG102" i="1"/>
  <c r="DF102" i="1"/>
  <c r="CJ102" i="1"/>
  <c r="CF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Q102" i="1"/>
  <c r="BP102" i="1"/>
  <c r="BO102" i="1"/>
  <c r="BN102" i="1"/>
  <c r="BM102" i="1"/>
  <c r="BL102" i="1"/>
  <c r="BJ102" i="1"/>
  <c r="BH102" i="1"/>
  <c r="AS102" i="1"/>
  <c r="BR102" i="1" s="1"/>
  <c r="AL102" i="1"/>
  <c r="AJ102" i="1"/>
  <c r="M102" i="1"/>
  <c r="DI102" i="1" s="1"/>
  <c r="DZ101" i="1"/>
  <c r="DY101" i="1"/>
  <c r="DX101" i="1"/>
  <c r="DV101" i="1"/>
  <c r="DU101" i="1"/>
  <c r="DT101" i="1"/>
  <c r="DS101" i="1"/>
  <c r="DR101" i="1"/>
  <c r="DQ101" i="1"/>
  <c r="DP101" i="1"/>
  <c r="DM101" i="1"/>
  <c r="DL101" i="1"/>
  <c r="DK101" i="1"/>
  <c r="DJ101" i="1"/>
  <c r="DH101" i="1"/>
  <c r="DG101" i="1"/>
  <c r="DF101" i="1"/>
  <c r="DC101" i="1"/>
  <c r="CX101" i="1"/>
  <c r="DW101" i="1" s="1"/>
  <c r="CJ101" i="1"/>
  <c r="CF101" i="1" s="1"/>
  <c r="CB101" i="1"/>
  <c r="CA101" i="1"/>
  <c r="BZ101" i="1"/>
  <c r="BX101" i="1"/>
  <c r="BW101" i="1"/>
  <c r="BV101" i="1"/>
  <c r="BU101" i="1"/>
  <c r="BS101" i="1"/>
  <c r="BR101" i="1"/>
  <c r="BQ101" i="1"/>
  <c r="BO101" i="1"/>
  <c r="BN101" i="1"/>
  <c r="BM101" i="1"/>
  <c r="BL101" i="1"/>
  <c r="BJ101" i="1"/>
  <c r="BH101" i="1"/>
  <c r="BE101" i="1"/>
  <c r="BD101" i="1"/>
  <c r="AZ101" i="1"/>
  <c r="BY101" i="1" s="1"/>
  <c r="AL101" i="1"/>
  <c r="AJ101" i="1"/>
  <c r="AF101" i="1"/>
  <c r="AE101" i="1"/>
  <c r="EA101" i="1" s="1"/>
  <c r="V101" i="1"/>
  <c r="S101" i="1"/>
  <c r="R101" i="1"/>
  <c r="BP101" i="1" s="1"/>
  <c r="M101" i="1"/>
  <c r="DI101" i="1" s="1"/>
  <c r="K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C100" i="1"/>
  <c r="CF100" i="1" s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H100" i="1" s="1"/>
  <c r="AF100" i="1"/>
  <c r="EB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I99" i="1"/>
  <c r="G99" i="1"/>
  <c r="EA98" i="1"/>
  <c r="DZ98" i="1"/>
  <c r="DY98" i="1"/>
  <c r="DX98" i="1"/>
  <c r="DW98" i="1"/>
  <c r="DV98" i="1"/>
  <c r="DU98" i="1"/>
  <c r="DT98" i="1"/>
  <c r="DR98" i="1"/>
  <c r="DQ98" i="1"/>
  <c r="DP98" i="1"/>
  <c r="DO98" i="1"/>
  <c r="DN98" i="1"/>
  <c r="DM98" i="1"/>
  <c r="DL98" i="1"/>
  <c r="DK98" i="1"/>
  <c r="DH98" i="1"/>
  <c r="DG98" i="1"/>
  <c r="CT98" i="1"/>
  <c r="CK98" i="1"/>
  <c r="CG98" i="1"/>
  <c r="CC98" i="1"/>
  <c r="CB98" i="1"/>
  <c r="CA98" i="1"/>
  <c r="BZ98" i="1"/>
  <c r="BY98" i="1"/>
  <c r="BX98" i="1"/>
  <c r="BW98" i="1"/>
  <c r="BT98" i="1"/>
  <c r="BS98" i="1"/>
  <c r="BQ98" i="1"/>
  <c r="BP98" i="1"/>
  <c r="BO98" i="1"/>
  <c r="BN98" i="1"/>
  <c r="BM98" i="1"/>
  <c r="BJ98" i="1"/>
  <c r="BI98" i="1"/>
  <c r="AW98" i="1"/>
  <c r="BV98" i="1" s="1"/>
  <c r="AV98" i="1"/>
  <c r="BU98" i="1" s="1"/>
  <c r="AS98" i="1"/>
  <c r="AS133" i="1" s="1"/>
  <c r="AM98" i="1"/>
  <c r="BL98" i="1" s="1"/>
  <c r="AL98" i="1"/>
  <c r="AI98" i="1"/>
  <c r="AF98" i="1"/>
  <c r="EB98" i="1" s="1"/>
  <c r="M98" i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E97" i="1"/>
  <c r="AD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H97" i="1"/>
  <c r="EB96" i="1"/>
  <c r="EA96" i="1"/>
  <c r="DZ96" i="1"/>
  <c r="DY96" i="1"/>
  <c r="DX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X96" i="1"/>
  <c r="DW96" i="1" s="1"/>
  <c r="CW96" i="1"/>
  <c r="DV96" i="1" s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BY96" i="1" s="1"/>
  <c r="AY96" i="1"/>
  <c r="BX96" i="1" s="1"/>
  <c r="AI96" i="1"/>
  <c r="J96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C95" i="1"/>
  <c r="CW95" i="1"/>
  <c r="DV95" i="1" s="1"/>
  <c r="CJ95" i="1"/>
  <c r="CJ135" i="1" s="1"/>
  <c r="CG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L135" i="1" s="1"/>
  <c r="AJ95" i="1"/>
  <c r="AJ135" i="1" s="1"/>
  <c r="AI95" i="1"/>
  <c r="AF95" i="1"/>
  <c r="M95" i="1"/>
  <c r="M135" i="1" s="1"/>
  <c r="J95" i="1"/>
  <c r="DF95" i="1" s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CF94" i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AH94" i="1"/>
  <c r="AC94" i="1"/>
  <c r="AC135" i="1" s="1"/>
  <c r="J94" i="1"/>
  <c r="BH94" i="1" s="1"/>
  <c r="EB93" i="1"/>
  <c r="EA93" i="1"/>
  <c r="DZ93" i="1"/>
  <c r="DY93" i="1"/>
  <c r="DX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X93" i="1"/>
  <c r="CW93" i="1"/>
  <c r="DV93" i="1" s="1"/>
  <c r="CG93" i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BX93" i="1" s="1"/>
  <c r="AI93" i="1"/>
  <c r="AA93" i="1"/>
  <c r="J93" i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Y92" i="1"/>
  <c r="BX92" i="1" s="1"/>
  <c r="AA92" i="1"/>
  <c r="BY92" i="1" s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CX91" i="1"/>
  <c r="DW91" i="1" s="1"/>
  <c r="CW91" i="1"/>
  <c r="DV91" i="1" s="1"/>
  <c r="CG91" i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AZ91" i="1"/>
  <c r="AY91" i="1"/>
  <c r="BX91" i="1" s="1"/>
  <c r="AI91" i="1"/>
  <c r="AA91" i="1"/>
  <c r="J91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X90" i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Z90" i="1"/>
  <c r="BY90" i="1" s="1"/>
  <c r="AY90" i="1"/>
  <c r="BX90" i="1" s="1"/>
  <c r="AF90" i="1"/>
  <c r="EB90" i="1" s="1"/>
  <c r="AA90" i="1"/>
  <c r="G90" i="1"/>
  <c r="I90" i="1" s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G89" i="1"/>
  <c r="DF89" i="1"/>
  <c r="DC89" i="1"/>
  <c r="CI89" i="1"/>
  <c r="CI135" i="1" s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H89" i="1"/>
  <c r="BE89" i="1"/>
  <c r="CD89" i="1" s="1"/>
  <c r="BB89" i="1"/>
  <c r="CA89" i="1" s="1"/>
  <c r="AK89" i="1"/>
  <c r="AK135" i="1" s="1"/>
  <c r="G89" i="1"/>
  <c r="I89" i="1" s="1"/>
  <c r="EB88" i="1"/>
  <c r="EA88" i="1"/>
  <c r="DZ88" i="1"/>
  <c r="DX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X88" i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Z88" i="1"/>
  <c r="G88" i="1"/>
  <c r="I88" i="1" s="1"/>
  <c r="EB87" i="1"/>
  <c r="EA87" i="1"/>
  <c r="DZ87" i="1"/>
  <c r="DY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Z87" i="1"/>
  <c r="CX87" i="1" s="1"/>
  <c r="CF87" i="1" s="1"/>
  <c r="CD87" i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BB87" i="1"/>
  <c r="CA87" i="1" s="1"/>
  <c r="AZ87" i="1"/>
  <c r="AA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G86" i="1"/>
  <c r="I86" i="1" s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BB85" i="1"/>
  <c r="CA85" i="1" s="1"/>
  <c r="AF85" i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DY84" i="1" s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Z84" i="1"/>
  <c r="AA84" i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CX83" i="1"/>
  <c r="CW83" i="1"/>
  <c r="CG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AZ83" i="1"/>
  <c r="AY83" i="1"/>
  <c r="AI83" i="1"/>
  <c r="AA83" i="1"/>
  <c r="J83" i="1"/>
  <c r="DF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G82" i="1"/>
  <c r="I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E81" i="1" s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AG81" i="1" s="1"/>
  <c r="BF81" i="1" s="1"/>
  <c r="G81" i="1"/>
  <c r="I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CZ80" i="1"/>
  <c r="DY80" i="1" s="1"/>
  <c r="CG80" i="1"/>
  <c r="D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B80" i="1"/>
  <c r="CA80" i="1" s="1"/>
  <c r="AI80" i="1"/>
  <c r="BH80" i="1" s="1"/>
  <c r="G80" i="1"/>
  <c r="I80" i="1" s="1"/>
  <c r="EB79" i="1"/>
  <c r="EA79" i="1"/>
  <c r="DZ79" i="1"/>
  <c r="DY79" i="1"/>
  <c r="DX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Z79" i="1"/>
  <c r="CF79" i="1"/>
  <c r="CD79" i="1"/>
  <c r="CC79" i="1"/>
  <c r="CB79" i="1"/>
  <c r="CA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B79" i="1"/>
  <c r="AH79" i="1"/>
  <c r="AA79" i="1"/>
  <c r="DW79" i="1" s="1"/>
  <c r="EB78" i="1"/>
  <c r="EA78" i="1"/>
  <c r="DZ78" i="1"/>
  <c r="DX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CZ78" i="1"/>
  <c r="CG78" i="1"/>
  <c r="CD78" i="1"/>
  <c r="CC78" i="1"/>
  <c r="CB78" i="1"/>
  <c r="BZ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B78" i="1"/>
  <c r="CA78" i="1" s="1"/>
  <c r="AI78" i="1"/>
  <c r="AA78" i="1"/>
  <c r="J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BI76" i="1" s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K75" i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DW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Z73" i="1"/>
  <c r="AJ73" i="1"/>
  <c r="AA73" i="1"/>
  <c r="DW73" i="1" s="1"/>
  <c r="K73" i="1"/>
  <c r="DG73" i="1" s="1"/>
  <c r="G73" i="1"/>
  <c r="CE73" i="1" s="1"/>
  <c r="DD73" i="1" s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CF72" i="1" s="1"/>
  <c r="CH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Z72" i="1"/>
  <c r="AJ72" i="1"/>
  <c r="AA72" i="1"/>
  <c r="K72" i="1"/>
  <c r="EA71" i="1"/>
  <c r="DZ71" i="1"/>
  <c r="DY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Y71" i="1"/>
  <c r="DX71" i="1" s="1"/>
  <c r="CX71" i="1"/>
  <c r="CH71" i="1"/>
  <c r="CC71" i="1"/>
  <c r="CB71" i="1"/>
  <c r="CA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BA71" i="1"/>
  <c r="BZ71" i="1" s="1"/>
  <c r="AZ71" i="1"/>
  <c r="AJ71" i="1"/>
  <c r="AF71" i="1"/>
  <c r="AA71" i="1"/>
  <c r="K71" i="1"/>
  <c r="DG71" i="1" s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AZ70" i="1"/>
  <c r="AJ70" i="1"/>
  <c r="AA70" i="1"/>
  <c r="G70" i="1" s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X69" i="1"/>
  <c r="CH69" i="1" s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AZ69" i="1"/>
  <c r="AJ69" i="1"/>
  <c r="AB69" i="1"/>
  <c r="DX69" i="1" s="1"/>
  <c r="AA69" i="1"/>
  <c r="K69" i="1"/>
  <c r="EB68" i="1"/>
  <c r="EA68" i="1"/>
  <c r="DZ68" i="1"/>
  <c r="DY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Y68" i="1"/>
  <c r="DX68" i="1" s="1"/>
  <c r="CX68" i="1"/>
  <c r="CH68" i="1"/>
  <c r="CD68" i="1"/>
  <c r="CC68" i="1"/>
  <c r="CB68" i="1"/>
  <c r="CA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A68" i="1"/>
  <c r="BZ68" i="1" s="1"/>
  <c r="AZ68" i="1"/>
  <c r="AJ68" i="1"/>
  <c r="AA68" i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 s="1"/>
  <c r="CF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AF67" i="1"/>
  <c r="K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J66" i="1"/>
  <c r="Y66" i="1"/>
  <c r="Y139" i="1" s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G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AG64" i="1" s="1"/>
  <c r="BF64" i="1" s="1"/>
  <c r="H64" i="1"/>
  <c r="I64" i="1" s="1"/>
  <c r="G64" i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Y63" i="1"/>
  <c r="CX63" i="1"/>
  <c r="CL63" i="1"/>
  <c r="DK63" i="1" s="1"/>
  <c r="CH63" i="1"/>
  <c r="CC63" i="1"/>
  <c r="CB63" i="1"/>
  <c r="CA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BA63" i="1"/>
  <c r="BZ63" i="1" s="1"/>
  <c r="AZ63" i="1"/>
  <c r="AN63" i="1"/>
  <c r="BM63" i="1" s="1"/>
  <c r="AJ63" i="1"/>
  <c r="AF63" i="1"/>
  <c r="AA63" i="1"/>
  <c r="DW63" i="1" s="1"/>
  <c r="K63" i="1"/>
  <c r="EB62" i="1"/>
  <c r="EA62" i="1"/>
  <c r="DZ62" i="1"/>
  <c r="DY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Y62" i="1"/>
  <c r="CX62" i="1"/>
  <c r="CL62" i="1"/>
  <c r="CH62" i="1"/>
  <c r="CD62" i="1"/>
  <c r="CC62" i="1"/>
  <c r="CB62" i="1"/>
  <c r="CA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BA62" i="1"/>
  <c r="AZ62" i="1"/>
  <c r="BY62" i="1" s="1"/>
  <c r="AN62" i="1"/>
  <c r="AJ62" i="1"/>
  <c r="AB62" i="1"/>
  <c r="AA62" i="1"/>
  <c r="DW62" i="1" s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X61" i="1"/>
  <c r="CH61" i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Z61" i="1"/>
  <c r="AJ61" i="1"/>
  <c r="BI61" i="1" s="1"/>
  <c r="AA61" i="1"/>
  <c r="K61" i="1"/>
  <c r="EB60" i="1"/>
  <c r="EA60" i="1"/>
  <c r="DZ60" i="1"/>
  <c r="DY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Y60" i="1"/>
  <c r="CX60" i="1"/>
  <c r="CH60" i="1"/>
  <c r="CD60" i="1"/>
  <c r="CC60" i="1"/>
  <c r="CB60" i="1"/>
  <c r="CA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BA60" i="1"/>
  <c r="AZ60" i="1"/>
  <c r="AJ60" i="1"/>
  <c r="AB60" i="1"/>
  <c r="AA60" i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BG59" i="1" s="1"/>
  <c r="K59" i="1"/>
  <c r="G59" i="1" s="1"/>
  <c r="I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K58" i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AH57" i="1"/>
  <c r="K57" i="1"/>
  <c r="EB56" i="1"/>
  <c r="EA56" i="1"/>
  <c r="DZ56" i="1"/>
  <c r="DY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Y56" i="1"/>
  <c r="CX56" i="1"/>
  <c r="CH56" i="1"/>
  <c r="CD56" i="1"/>
  <c r="CC56" i="1"/>
  <c r="CB56" i="1"/>
  <c r="CA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BA56" i="1"/>
  <c r="AZ56" i="1"/>
  <c r="AJ56" i="1"/>
  <c r="AB56" i="1"/>
  <c r="AA56" i="1"/>
  <c r="K56" i="1"/>
  <c r="EA55" i="1"/>
  <c r="DZ55" i="1"/>
  <c r="DY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DC55" i="1"/>
  <c r="CY55" i="1"/>
  <c r="CX55" i="1"/>
  <c r="CH55" i="1"/>
  <c r="CC55" i="1"/>
  <c r="CB55" i="1"/>
  <c r="CA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E55" i="1"/>
  <c r="BA55" i="1"/>
  <c r="AZ55" i="1"/>
  <c r="AJ55" i="1"/>
  <c r="AF55" i="1"/>
  <c r="AB55" i="1"/>
  <c r="AA55" i="1"/>
  <c r="K55" i="1"/>
  <c r="DG55" i="1" s="1"/>
  <c r="H55" i="1"/>
  <c r="H77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F54" i="1" s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AA54" i="1"/>
  <c r="K54" i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AF52" i="1"/>
  <c r="AA52" i="1"/>
  <c r="K52" i="1"/>
  <c r="EA51" i="1"/>
  <c r="DZ51" i="1"/>
  <c r="DY51" i="1"/>
  <c r="DX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DC51" i="1"/>
  <c r="CF51" i="1" s="1"/>
  <c r="CH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BE51" i="1"/>
  <c r="AJ51" i="1"/>
  <c r="AF51" i="1"/>
  <c r="AA51" i="1"/>
  <c r="K51" i="1"/>
  <c r="DB50" i="1"/>
  <c r="CZ50" i="1"/>
  <c r="CW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X50" i="1"/>
  <c r="AV50" i="1"/>
  <c r="AU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T50" i="1"/>
  <c r="P50" i="1"/>
  <c r="O50" i="1"/>
  <c r="N50" i="1"/>
  <c r="M50" i="1"/>
  <c r="L50" i="1"/>
  <c r="J50" i="1"/>
  <c r="EA49" i="1"/>
  <c r="DZ49" i="1"/>
  <c r="DY49" i="1"/>
  <c r="DX49" i="1"/>
  <c r="DW49" i="1"/>
  <c r="DV49" i="1"/>
  <c r="DU49" i="1"/>
  <c r="DT49" i="1"/>
  <c r="DS49" i="1"/>
  <c r="DR49" i="1"/>
  <c r="DP49" i="1"/>
  <c r="DO49" i="1"/>
  <c r="DN49" i="1"/>
  <c r="DL49" i="1"/>
  <c r="DK49" i="1"/>
  <c r="DJ49" i="1"/>
  <c r="DI49" i="1"/>
  <c r="DH49" i="1"/>
  <c r="DF49" i="1"/>
  <c r="DC49" i="1"/>
  <c r="CX49" i="1"/>
  <c r="CH49" i="1"/>
  <c r="CC49" i="1"/>
  <c r="CB49" i="1"/>
  <c r="CA49" i="1"/>
  <c r="BZ49" i="1"/>
  <c r="BX49" i="1"/>
  <c r="BW49" i="1"/>
  <c r="BV49" i="1"/>
  <c r="BU49" i="1"/>
  <c r="BT49" i="1"/>
  <c r="BR49" i="1"/>
  <c r="BQ49" i="1"/>
  <c r="BP49" i="1"/>
  <c r="BN49" i="1"/>
  <c r="BM49" i="1"/>
  <c r="BL49" i="1"/>
  <c r="BK49" i="1"/>
  <c r="BJ49" i="1"/>
  <c r="BH49" i="1"/>
  <c r="BE49" i="1"/>
  <c r="AZ49" i="1"/>
  <c r="BY49" i="1" s="1"/>
  <c r="AT49" i="1"/>
  <c r="AT137" i="1" s="1"/>
  <c r="AP49" i="1"/>
  <c r="AJ49" i="1"/>
  <c r="AF49" i="1"/>
  <c r="U49" i="1"/>
  <c r="Q49" i="1"/>
  <c r="K49" i="1"/>
  <c r="EA48" i="1"/>
  <c r="DZ48" i="1"/>
  <c r="DY48" i="1"/>
  <c r="DX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X48" i="1"/>
  <c r="CN48" i="1"/>
  <c r="DM48" i="1" s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AF48" i="1"/>
  <c r="EA47" i="1"/>
  <c r="DZ47" i="1"/>
  <c r="DY47" i="1"/>
  <c r="DX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DW47" i="1" s="1"/>
  <c r="CH47" i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AZ47" i="1"/>
  <c r="AJ47" i="1"/>
  <c r="BI47" i="1" s="1"/>
  <c r="AF47" i="1"/>
  <c r="EB46" i="1"/>
  <c r="EA46" i="1"/>
  <c r="DZ46" i="1"/>
  <c r="DY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F46" i="1"/>
  <c r="CY46" i="1"/>
  <c r="DX46" i="1" s="1"/>
  <c r="CX46" i="1"/>
  <c r="DW46" i="1" s="1"/>
  <c r="CN46" i="1"/>
  <c r="DM46" i="1" s="1"/>
  <c r="CH46" i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BZ46" i="1" s="1"/>
  <c r="AZ46" i="1"/>
  <c r="BY46" i="1" s="1"/>
  <c r="AX46" i="1"/>
  <c r="AX137" i="1" s="1"/>
  <c r="AP46" i="1"/>
  <c r="BO46" i="1" s="1"/>
  <c r="AJ46" i="1"/>
  <c r="Y46" i="1"/>
  <c r="EB45" i="1"/>
  <c r="EA45" i="1"/>
  <c r="DZ45" i="1"/>
  <c r="DY45" i="1"/>
  <c r="DX45" i="1"/>
  <c r="DW45" i="1"/>
  <c r="DV45" i="1"/>
  <c r="DU45" i="1"/>
  <c r="DT45" i="1"/>
  <c r="DS45" i="1"/>
  <c r="DR45" i="1"/>
  <c r="DP45" i="1"/>
  <c r="DO45" i="1"/>
  <c r="DN45" i="1"/>
  <c r="DL45" i="1"/>
  <c r="DK45" i="1"/>
  <c r="DJ45" i="1"/>
  <c r="DI45" i="1"/>
  <c r="DH45" i="1"/>
  <c r="DF45" i="1"/>
  <c r="CN45" i="1"/>
  <c r="DM45" i="1" s="1"/>
  <c r="CF45" i="1"/>
  <c r="CD45" i="1"/>
  <c r="CC45" i="1"/>
  <c r="CB45" i="1"/>
  <c r="CA45" i="1"/>
  <c r="BZ45" i="1"/>
  <c r="BY45" i="1"/>
  <c r="BX45" i="1"/>
  <c r="BW45" i="1"/>
  <c r="BV45" i="1"/>
  <c r="BU45" i="1"/>
  <c r="BT45" i="1"/>
  <c r="BR45" i="1"/>
  <c r="BQ45" i="1"/>
  <c r="BP45" i="1"/>
  <c r="BN45" i="1"/>
  <c r="BM45" i="1"/>
  <c r="BL45" i="1"/>
  <c r="BK45" i="1"/>
  <c r="BJ45" i="1"/>
  <c r="BH45" i="1"/>
  <c r="AP45" i="1"/>
  <c r="U45" i="1"/>
  <c r="DQ45" i="1" s="1"/>
  <c r="K45" i="1"/>
  <c r="K50" i="1" s="1"/>
  <c r="EB44" i="1"/>
  <c r="EA44" i="1"/>
  <c r="DZ44" i="1"/>
  <c r="DY44" i="1"/>
  <c r="DX44" i="1"/>
  <c r="DW44" i="1"/>
  <c r="DV44" i="1"/>
  <c r="DU44" i="1"/>
  <c r="DT44" i="1"/>
  <c r="DS44" i="1"/>
  <c r="DR44" i="1"/>
  <c r="DP44" i="1"/>
  <c r="DO44" i="1"/>
  <c r="DN44" i="1"/>
  <c r="DL44" i="1"/>
  <c r="DK44" i="1"/>
  <c r="DJ44" i="1"/>
  <c r="DI44" i="1"/>
  <c r="DH44" i="1"/>
  <c r="DF44" i="1"/>
  <c r="CH44" i="1"/>
  <c r="DG44" i="1" s="1"/>
  <c r="CD44" i="1"/>
  <c r="CC44" i="1"/>
  <c r="CB44" i="1"/>
  <c r="CA44" i="1"/>
  <c r="BZ44" i="1"/>
  <c r="BY44" i="1"/>
  <c r="BX44" i="1"/>
  <c r="BW44" i="1"/>
  <c r="BV44" i="1"/>
  <c r="BU44" i="1"/>
  <c r="BT44" i="1"/>
  <c r="BR44" i="1"/>
  <c r="BQ44" i="1"/>
  <c r="BP44" i="1"/>
  <c r="BN44" i="1"/>
  <c r="BM44" i="1"/>
  <c r="BL44" i="1"/>
  <c r="BK44" i="1"/>
  <c r="BJ44" i="1"/>
  <c r="BH44" i="1"/>
  <c r="AJ44" i="1"/>
  <c r="BI44" i="1" s="1"/>
  <c r="U44" i="1"/>
  <c r="BS44" i="1" s="1"/>
  <c r="Q44" i="1"/>
  <c r="DM44" i="1" s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C43" i="1"/>
  <c r="CX43" i="1"/>
  <c r="DW43" i="1" s="1"/>
  <c r="CH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BC43" i="1"/>
  <c r="BC137" i="1" s="1"/>
  <c r="AZ43" i="1"/>
  <c r="BY43" i="1" s="1"/>
  <c r="AJ43" i="1"/>
  <c r="BI43" i="1" s="1"/>
  <c r="AF43" i="1"/>
  <c r="CD43" i="1" s="1"/>
  <c r="AD43" i="1"/>
  <c r="AD137" i="1" s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X42" i="1"/>
  <c r="DW42" i="1" s="1"/>
  <c r="CN42" i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AA42" i="1"/>
  <c r="Q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DX41" i="1" s="1"/>
  <c r="CN41" i="1"/>
  <c r="DM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BO41" i="1" s="1"/>
  <c r="I41" i="1"/>
  <c r="G41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DC40" i="1"/>
  <c r="CN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Q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P39" i="1"/>
  <c r="AJ39" i="1"/>
  <c r="BI39" i="1" s="1"/>
  <c r="Q39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AP38" i="1"/>
  <c r="AF38" i="1"/>
  <c r="EB38" i="1" s="1"/>
  <c r="S38" i="1"/>
  <c r="Q38" i="1"/>
  <c r="BO38" i="1" s="1"/>
  <c r="H38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DC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AP37" i="1"/>
  <c r="AF37" i="1"/>
  <c r="Q37" i="1"/>
  <c r="H37" i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DC36" i="1"/>
  <c r="CX36" i="1"/>
  <c r="CN36" i="1"/>
  <c r="CD36" i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AF36" i="1"/>
  <c r="EB36" i="1" s="1"/>
  <c r="AA36" i="1"/>
  <c r="AA137" i="1" s="1"/>
  <c r="Q36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F35" i="1"/>
  <c r="CN35" i="1"/>
  <c r="CH35" i="1"/>
  <c r="DG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AP35" i="1"/>
  <c r="AJ35" i="1"/>
  <c r="BI35" i="1" s="1"/>
  <c r="AF35" i="1"/>
  <c r="Q35" i="1"/>
  <c r="BO35" i="1" s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DX34" i="1" s="1"/>
  <c r="CN34" i="1"/>
  <c r="DM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CD34" i="1" s="1"/>
  <c r="BA34" i="1"/>
  <c r="AP34" i="1"/>
  <c r="AF34" i="1"/>
  <c r="Q34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 s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P33" i="1"/>
  <c r="AF33" i="1"/>
  <c r="Q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DE32" i="1" s="1"/>
  <c r="CN32" i="1"/>
  <c r="CF32" i="1" s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AP32" i="1"/>
  <c r="BO32" i="1" s="1"/>
  <c r="Q32" i="1"/>
  <c r="DM32" i="1" s="1"/>
  <c r="G32" i="1"/>
  <c r="I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CN31" i="1"/>
  <c r="CF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G31" i="1"/>
  <c r="I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CN30" i="1"/>
  <c r="CF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AG30" i="1" s="1"/>
  <c r="BF30" i="1" s="1"/>
  <c r="Q30" i="1"/>
  <c r="BO30" i="1" s="1"/>
  <c r="G30" i="1"/>
  <c r="I30" i="1" s="1"/>
  <c r="EB29" i="1"/>
  <c r="EA29" i="1"/>
  <c r="DZ29" i="1"/>
  <c r="DY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Y29" i="1"/>
  <c r="CQ29" i="1"/>
  <c r="DP29" i="1" s="1"/>
  <c r="CO29" i="1"/>
  <c r="CD29" i="1"/>
  <c r="CC29" i="1"/>
  <c r="CB29" i="1"/>
  <c r="CA29" i="1"/>
  <c r="BY29" i="1"/>
  <c r="BX29" i="1"/>
  <c r="BW29" i="1"/>
  <c r="BV29" i="1"/>
  <c r="BU29" i="1"/>
  <c r="BT29" i="1"/>
  <c r="BS29" i="1"/>
  <c r="BQ29" i="1"/>
  <c r="BN29" i="1"/>
  <c r="BM29" i="1"/>
  <c r="BL29" i="1"/>
  <c r="BK29" i="1"/>
  <c r="BJ29" i="1"/>
  <c r="BI29" i="1"/>
  <c r="BH29" i="1"/>
  <c r="BA29" i="1"/>
  <c r="AS29" i="1"/>
  <c r="BR29" i="1" s="1"/>
  <c r="AQ29" i="1"/>
  <c r="AP29" i="1"/>
  <c r="R29" i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DM28" i="1" s="1"/>
  <c r="EA27" i="1"/>
  <c r="DZ27" i="1"/>
  <c r="DY27" i="1"/>
  <c r="DX27" i="1"/>
  <c r="DW27" i="1"/>
  <c r="DV27" i="1"/>
  <c r="DU27" i="1"/>
  <c r="DS27" i="1"/>
  <c r="DR27" i="1"/>
  <c r="DQ27" i="1"/>
  <c r="DO27" i="1"/>
  <c r="DL27" i="1"/>
  <c r="DK27" i="1"/>
  <c r="DJ27" i="1"/>
  <c r="DI27" i="1"/>
  <c r="DH27" i="1"/>
  <c r="DG27" i="1"/>
  <c r="DF27" i="1"/>
  <c r="DC27" i="1"/>
  <c r="CU27" i="1"/>
  <c r="CQ27" i="1"/>
  <c r="DP27" i="1" s="1"/>
  <c r="CP27" i="1"/>
  <c r="CO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W27" i="1"/>
  <c r="AS27" i="1"/>
  <c r="BR27" i="1" s="1"/>
  <c r="AR27" i="1"/>
  <c r="AQ27" i="1"/>
  <c r="BP27" i="1" s="1"/>
  <c r="AP27" i="1"/>
  <c r="AF27" i="1"/>
  <c r="X27" i="1"/>
  <c r="S27" i="1"/>
  <c r="R27" i="1"/>
  <c r="Q27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F26" i="1"/>
  <c r="CN26" i="1"/>
  <c r="DM26" i="1" s="1"/>
  <c r="CH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H26" i="1"/>
  <c r="AJ26" i="1"/>
  <c r="AH26" i="1" s="1"/>
  <c r="Q26" i="1"/>
  <c r="BO26" i="1" s="1"/>
  <c r="G26" i="1"/>
  <c r="I26" i="1" s="1"/>
  <c r="EB25" i="1"/>
  <c r="EA25" i="1"/>
  <c r="DZ25" i="1"/>
  <c r="DY25" i="1"/>
  <c r="DX25" i="1"/>
  <c r="DW25" i="1"/>
  <c r="DV25" i="1"/>
  <c r="DU25" i="1"/>
  <c r="DS25" i="1"/>
  <c r="DR25" i="1"/>
  <c r="DQ25" i="1"/>
  <c r="DL25" i="1"/>
  <c r="DK25" i="1"/>
  <c r="DJ25" i="1"/>
  <c r="DJ50" i="1" s="1"/>
  <c r="DI25" i="1"/>
  <c r="DH25" i="1"/>
  <c r="DG25" i="1"/>
  <c r="DF25" i="1"/>
  <c r="CU25" i="1"/>
  <c r="CU137" i="1" s="1"/>
  <c r="CQ25" i="1"/>
  <c r="CP25" i="1"/>
  <c r="CO25" i="1"/>
  <c r="CN25" i="1"/>
  <c r="CD25" i="1"/>
  <c r="CC25" i="1"/>
  <c r="CB25" i="1"/>
  <c r="CA25" i="1"/>
  <c r="BZ25" i="1"/>
  <c r="BY25" i="1"/>
  <c r="BX25" i="1"/>
  <c r="BW25" i="1"/>
  <c r="BU25" i="1"/>
  <c r="BT25" i="1"/>
  <c r="BS25" i="1"/>
  <c r="BN25" i="1"/>
  <c r="BM25" i="1"/>
  <c r="BL25" i="1"/>
  <c r="BK25" i="1"/>
  <c r="BJ25" i="1"/>
  <c r="BI25" i="1"/>
  <c r="BH25" i="1"/>
  <c r="AW25" i="1"/>
  <c r="BV25" i="1" s="1"/>
  <c r="AS25" i="1"/>
  <c r="BR25" i="1" s="1"/>
  <c r="AR25" i="1"/>
  <c r="AQ25" i="1"/>
  <c r="AP25" i="1"/>
  <c r="X25" i="1"/>
  <c r="S25" i="1"/>
  <c r="S137" i="1" s="1"/>
  <c r="R25" i="1"/>
  <c r="Q25" i="1"/>
  <c r="DB24" i="1"/>
  <c r="DA24" i="1"/>
  <c r="CZ24" i="1"/>
  <c r="CX24" i="1"/>
  <c r="CV24" i="1"/>
  <c r="CU24" i="1"/>
  <c r="CT24" i="1"/>
  <c r="CS24" i="1"/>
  <c r="CS131" i="1" s="1"/>
  <c r="CQ24" i="1"/>
  <c r="CP24" i="1"/>
  <c r="CO24" i="1"/>
  <c r="CN24" i="1"/>
  <c r="CM24" i="1"/>
  <c r="CL24" i="1"/>
  <c r="CK24" i="1"/>
  <c r="CI24" i="1"/>
  <c r="CG24" i="1"/>
  <c r="BC24" i="1"/>
  <c r="BB24" i="1"/>
  <c r="AZ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D24" i="1"/>
  <c r="AC24" i="1"/>
  <c r="Z24" i="1"/>
  <c r="Z131" i="1" s="1"/>
  <c r="Y24" i="1"/>
  <c r="X24" i="1"/>
  <c r="W24" i="1"/>
  <c r="W131" i="1" s="1"/>
  <c r="V24" i="1"/>
  <c r="T24" i="1"/>
  <c r="T131" i="1" s="1"/>
  <c r="S24" i="1"/>
  <c r="R24" i="1"/>
  <c r="Q24" i="1"/>
  <c r="P24" i="1"/>
  <c r="O24" i="1"/>
  <c r="N24" i="1"/>
  <c r="L24" i="1"/>
  <c r="L131" i="1" s="1"/>
  <c r="L141" i="1" s="1"/>
  <c r="J24" i="1"/>
  <c r="H24" i="1"/>
  <c r="EB23" i="1"/>
  <c r="EA23" i="1"/>
  <c r="DZ23" i="1"/>
  <c r="DY23" i="1"/>
  <c r="DX23" i="1"/>
  <c r="DW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W23" i="1"/>
  <c r="DV23" i="1" s="1"/>
  <c r="CR23" i="1"/>
  <c r="CR138" i="1" s="1"/>
  <c r="CH23" i="1"/>
  <c r="CD23" i="1"/>
  <c r="CC23" i="1"/>
  <c r="CB23" i="1"/>
  <c r="CA23" i="1"/>
  <c r="BZ23" i="1"/>
  <c r="BY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Y23" i="1"/>
  <c r="BX23" i="1" s="1"/>
  <c r="AT23" i="1"/>
  <c r="AT138" i="1" s="1"/>
  <c r="AJ23" i="1"/>
  <c r="G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DG22" i="1" s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DV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AH21" i="1" s="1"/>
  <c r="AG21" i="1" s="1"/>
  <c r="BF21" i="1" s="1"/>
  <c r="G21" i="1"/>
  <c r="I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E20" i="1" s="1"/>
  <c r="DF20" i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G20" i="1" s="1"/>
  <c r="BI20" i="1"/>
  <c r="BH20" i="1"/>
  <c r="AH20" i="1"/>
  <c r="G20" i="1"/>
  <c r="CE20" i="1" s="1"/>
  <c r="D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AH19" i="1" s="1"/>
  <c r="AG19" i="1" s="1"/>
  <c r="BF19" i="1" s="1"/>
  <c r="G19" i="1"/>
  <c r="I19" i="1" s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E18" i="1" s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U138" i="1" s="1"/>
  <c r="EA17" i="1"/>
  <c r="DZ17" i="1"/>
  <c r="DY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Y17" i="1"/>
  <c r="CW17" i="1"/>
  <c r="DV17" i="1" s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CD17" i="1" s="1"/>
  <c r="BA17" i="1"/>
  <c r="AY17" i="1"/>
  <c r="BX17" i="1" s="1"/>
  <c r="AF17" i="1"/>
  <c r="AB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AH16" i="1"/>
  <c r="AG16" i="1" s="1"/>
  <c r="BF16" i="1" s="1"/>
  <c r="K16" i="1"/>
  <c r="DG16" i="1" s="1"/>
  <c r="G16" i="1"/>
  <c r="EA15" i="1"/>
  <c r="DZ15" i="1"/>
  <c r="DY15" i="1"/>
  <c r="DX15" i="1"/>
  <c r="DW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DC15" i="1"/>
  <c r="CH15" i="1"/>
  <c r="CW15" i="1" s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Y15" i="1"/>
  <c r="BX15" i="1" s="1"/>
  <c r="AJ15" i="1"/>
  <c r="AF15" i="1"/>
  <c r="EB15" i="1" s="1"/>
  <c r="U15" i="1"/>
  <c r="BS15" i="1" s="1"/>
  <c r="K15" i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AF14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DC13" i="1"/>
  <c r="DC136" i="1" s="1"/>
  <c r="CW13" i="1"/>
  <c r="CR13" i="1"/>
  <c r="CR136" i="1" s="1"/>
  <c r="CJ13" i="1"/>
  <c r="CJ136" i="1" s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AY13" i="1"/>
  <c r="AY136" i="1" s="1"/>
  <c r="AT13" i="1"/>
  <c r="AT136" i="1" s="1"/>
  <c r="AL13" i="1"/>
  <c r="AL136" i="1" s="1"/>
  <c r="AJ13" i="1"/>
  <c r="AF13" i="1"/>
  <c r="U13" i="1"/>
  <c r="U136" i="1" s="1"/>
  <c r="M13" i="1"/>
  <c r="DI13" i="1" s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H12" i="1"/>
  <c r="DG12" i="1"/>
  <c r="DF12" i="1"/>
  <c r="CF12" i="1"/>
  <c r="CD12" i="1"/>
  <c r="CC12" i="1"/>
  <c r="CB12" i="1"/>
  <c r="CA12" i="1"/>
  <c r="BZ12" i="1"/>
  <c r="BY12" i="1"/>
  <c r="BX12" i="1"/>
  <c r="BW12" i="1"/>
  <c r="BV12" i="1"/>
  <c r="BV136" i="1" s="1"/>
  <c r="BU12" i="1"/>
  <c r="BT12" i="1"/>
  <c r="BT136" i="1" s="1"/>
  <c r="BS12" i="1"/>
  <c r="BR12" i="1"/>
  <c r="BQ12" i="1"/>
  <c r="BP12" i="1"/>
  <c r="BO12" i="1"/>
  <c r="BN12" i="1"/>
  <c r="BM12" i="1"/>
  <c r="BL12" i="1"/>
  <c r="BJ12" i="1"/>
  <c r="BI12" i="1"/>
  <c r="BH12" i="1"/>
  <c r="AH12" i="1"/>
  <c r="M12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CF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AH11" i="1" s="1"/>
  <c r="AE11" i="1"/>
  <c r="AE138" i="1" s="1"/>
  <c r="K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J10" i="1"/>
  <c r="BI10" i="1"/>
  <c r="BH10" i="1"/>
  <c r="BD10" i="1"/>
  <c r="AL10" i="1"/>
  <c r="AL138" i="1" s="1"/>
  <c r="G10" i="1"/>
  <c r="I10" i="1" s="1"/>
  <c r="EA9" i="1"/>
  <c r="DZ9" i="1"/>
  <c r="DY9" i="1"/>
  <c r="DX9" i="1"/>
  <c r="DW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W9" i="1"/>
  <c r="DV9" i="1" s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Y9" i="1"/>
  <c r="BX9" i="1" s="1"/>
  <c r="AF9" i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BI8" i="1" s="1"/>
  <c r="BG8" i="1" s="1"/>
  <c r="I8" i="1"/>
  <c r="G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EA6" i="1"/>
  <c r="DZ6" i="1"/>
  <c r="DY6" i="1"/>
  <c r="DY24" i="1" s="1"/>
  <c r="DX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F138" i="1" s="1"/>
  <c r="DC6" i="1"/>
  <c r="CH6" i="1"/>
  <c r="CC6" i="1"/>
  <c r="CB6" i="1"/>
  <c r="CA6" i="1"/>
  <c r="BZ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Y6" i="1"/>
  <c r="AJ6" i="1"/>
  <c r="AF6" i="1"/>
  <c r="AA6" i="1"/>
  <c r="DW6" i="1" s="1"/>
  <c r="K6" i="1"/>
  <c r="CD33" i="1" l="1"/>
  <c r="BY68" i="1"/>
  <c r="AH128" i="1"/>
  <c r="CF6" i="2"/>
  <c r="BI7" i="2"/>
  <c r="CC11" i="2"/>
  <c r="CF19" i="2"/>
  <c r="AQ137" i="2"/>
  <c r="CY137" i="2"/>
  <c r="BQ38" i="2"/>
  <c r="CE53" i="2"/>
  <c r="DD53" i="2" s="1"/>
  <c r="EF53" i="2"/>
  <c r="BY61" i="2"/>
  <c r="AH85" i="2"/>
  <c r="BJ89" i="2"/>
  <c r="CZ89" i="2"/>
  <c r="BL98" i="2"/>
  <c r="AH100" i="2"/>
  <c r="CE127" i="2"/>
  <c r="DD127" i="2" s="1"/>
  <c r="EF127" i="2"/>
  <c r="BS49" i="1"/>
  <c r="DX56" i="1"/>
  <c r="CD51" i="1"/>
  <c r="BX19" i="1"/>
  <c r="AH72" i="1"/>
  <c r="AH15" i="2"/>
  <c r="CF36" i="2"/>
  <c r="EF36" i="2" s="1"/>
  <c r="DY84" i="2"/>
  <c r="BZ133" i="2"/>
  <c r="AG99" i="2"/>
  <c r="BF99" i="2" s="1"/>
  <c r="CE99" i="2"/>
  <c r="DD99" i="2" s="1"/>
  <c r="DO134" i="2"/>
  <c r="BW134" i="2"/>
  <c r="DR136" i="2"/>
  <c r="DZ136" i="2"/>
  <c r="DE122" i="2"/>
  <c r="BV97" i="2"/>
  <c r="DR97" i="2"/>
  <c r="CE79" i="2"/>
  <c r="DD79" i="2" s="1"/>
  <c r="BG79" i="2"/>
  <c r="DE94" i="2"/>
  <c r="DE79" i="2"/>
  <c r="DE81" i="2"/>
  <c r="DE82" i="2"/>
  <c r="BP77" i="2"/>
  <c r="BX77" i="2"/>
  <c r="DF139" i="2"/>
  <c r="CE59" i="2"/>
  <c r="DD59" i="2" s="1"/>
  <c r="BG64" i="2"/>
  <c r="DE64" i="2"/>
  <c r="BG73" i="2"/>
  <c r="DE76" i="2"/>
  <c r="BH77" i="2"/>
  <c r="AG59" i="2"/>
  <c r="BF59" i="2" s="1"/>
  <c r="BG40" i="2"/>
  <c r="CE30" i="2"/>
  <c r="DD30" i="2" s="1"/>
  <c r="P131" i="2"/>
  <c r="BG30" i="2"/>
  <c r="BG18" i="2"/>
  <c r="CE20" i="2"/>
  <c r="DD20" i="2" s="1"/>
  <c r="BL138" i="2"/>
  <c r="BP138" i="2"/>
  <c r="BT138" i="2"/>
  <c r="O140" i="2"/>
  <c r="CE7" i="2"/>
  <c r="DD7" i="2" s="1"/>
  <c r="I10" i="2"/>
  <c r="BV136" i="2"/>
  <c r="BZ136" i="2"/>
  <c r="BG20" i="2"/>
  <c r="CF21" i="1"/>
  <c r="CE21" i="1" s="1"/>
  <c r="DD21" i="1" s="1"/>
  <c r="BI69" i="1"/>
  <c r="CF107" i="1"/>
  <c r="CF120" i="1"/>
  <c r="AH9" i="2"/>
  <c r="BP29" i="2"/>
  <c r="CD36" i="2"/>
  <c r="BI52" i="2"/>
  <c r="BY56" i="2"/>
  <c r="CF58" i="2"/>
  <c r="EF58" i="2" s="1"/>
  <c r="AH62" i="2"/>
  <c r="BI71" i="2"/>
  <c r="CF71" i="2"/>
  <c r="EF71" i="2" s="1"/>
  <c r="CA85" i="2"/>
  <c r="AH91" i="2"/>
  <c r="CF123" i="2"/>
  <c r="EF123" i="2" s="1"/>
  <c r="CM129" i="2"/>
  <c r="BO25" i="1"/>
  <c r="AH36" i="1"/>
  <c r="EB40" i="1"/>
  <c r="CF40" i="1"/>
  <c r="BY42" i="1"/>
  <c r="DA43" i="1"/>
  <c r="BI62" i="1"/>
  <c r="BG86" i="1"/>
  <c r="CF98" i="1"/>
  <c r="CD101" i="1"/>
  <c r="AJ134" i="1"/>
  <c r="DQ106" i="1"/>
  <c r="AH116" i="1"/>
  <c r="AH117" i="1"/>
  <c r="BI128" i="1"/>
  <c r="CF21" i="2"/>
  <c r="AH25" i="2"/>
  <c r="BO36" i="2"/>
  <c r="AH39" i="2"/>
  <c r="CF40" i="2"/>
  <c r="EF40" i="2" s="1"/>
  <c r="AH42" i="2"/>
  <c r="BO48" i="2"/>
  <c r="AH70" i="2"/>
  <c r="AG70" i="2" s="1"/>
  <c r="BF70" i="2" s="1"/>
  <c r="DQ106" i="2"/>
  <c r="CF122" i="2"/>
  <c r="EF122" i="2" s="1"/>
  <c r="CD128" i="2"/>
  <c r="BI7" i="1"/>
  <c r="CD37" i="1"/>
  <c r="AH90" i="1"/>
  <c r="DG121" i="1"/>
  <c r="DE121" i="1" s="1"/>
  <c r="BG48" i="2"/>
  <c r="CD54" i="2"/>
  <c r="AH68" i="2"/>
  <c r="CF68" i="2"/>
  <c r="EF68" i="2" s="1"/>
  <c r="CF93" i="2"/>
  <c r="EF93" i="2" s="1"/>
  <c r="BT113" i="2"/>
  <c r="AH19" i="2"/>
  <c r="BX19" i="2"/>
  <c r="DG44" i="2"/>
  <c r="CF44" i="2"/>
  <c r="EF44" i="2" s="1"/>
  <c r="CV46" i="2"/>
  <c r="DU46" i="2" s="1"/>
  <c r="DX56" i="2"/>
  <c r="BI116" i="2"/>
  <c r="AH116" i="2"/>
  <c r="CF116" i="2"/>
  <c r="EF116" i="2" s="1"/>
  <c r="DW116" i="2"/>
  <c r="DG118" i="2"/>
  <c r="BG126" i="2"/>
  <c r="BE138" i="1"/>
  <c r="CH138" i="1"/>
  <c r="BD24" i="1"/>
  <c r="AJ136" i="1"/>
  <c r="BE136" i="1"/>
  <c r="CF19" i="1"/>
  <c r="CE19" i="1" s="1"/>
  <c r="DD19" i="1" s="1"/>
  <c r="BO36" i="1"/>
  <c r="AZ137" i="1"/>
  <c r="AX139" i="1"/>
  <c r="BW66" i="1"/>
  <c r="BY69" i="1"/>
  <c r="AH102" i="1"/>
  <c r="AH119" i="1"/>
  <c r="CF127" i="1"/>
  <c r="DG127" i="1"/>
  <c r="DE127" i="1" s="1"/>
  <c r="AH21" i="2"/>
  <c r="BX21" i="2"/>
  <c r="BI47" i="2"/>
  <c r="AH47" i="2"/>
  <c r="AG47" i="2" s="1"/>
  <c r="BF47" i="2" s="1"/>
  <c r="AH56" i="2"/>
  <c r="DV90" i="2"/>
  <c r="CF90" i="2"/>
  <c r="EF90" i="2" s="1"/>
  <c r="AH92" i="2"/>
  <c r="BX92" i="2"/>
  <c r="DI107" i="2"/>
  <c r="AH109" i="2"/>
  <c r="CD109" i="2"/>
  <c r="CD49" i="1"/>
  <c r="AH61" i="1"/>
  <c r="CF78" i="1"/>
  <c r="AH95" i="1"/>
  <c r="AT138" i="2"/>
  <c r="AH23" i="2"/>
  <c r="AH41" i="2"/>
  <c r="AG41" i="2" s="1"/>
  <c r="BF41" i="2" s="1"/>
  <c r="AZ77" i="2"/>
  <c r="BY90" i="2"/>
  <c r="AH90" i="2"/>
  <c r="AH93" i="2"/>
  <c r="AG93" i="2" s="1"/>
  <c r="BF93" i="2" s="1"/>
  <c r="BI120" i="2"/>
  <c r="AH120" i="2"/>
  <c r="CD22" i="1"/>
  <c r="AH33" i="1"/>
  <c r="AH41" i="1"/>
  <c r="AH42" i="1"/>
  <c r="AH56" i="1"/>
  <c r="BI58" i="1"/>
  <c r="AH68" i="1"/>
  <c r="CF68" i="1"/>
  <c r="AH70" i="1"/>
  <c r="EB71" i="1"/>
  <c r="BY72" i="1"/>
  <c r="DG75" i="1"/>
  <c r="AH84" i="1"/>
  <c r="CF84" i="1"/>
  <c r="DW90" i="1"/>
  <c r="BY93" i="1"/>
  <c r="AH96" i="1"/>
  <c r="AH98" i="1"/>
  <c r="EB106" i="1"/>
  <c r="BZ124" i="1"/>
  <c r="EB125" i="1"/>
  <c r="CF125" i="1"/>
  <c r="BI6" i="2"/>
  <c r="AH6" i="2"/>
  <c r="BG21" i="2"/>
  <c r="BG38" i="2"/>
  <c r="DM40" i="2"/>
  <c r="BG41" i="2"/>
  <c r="AH43" i="2"/>
  <c r="AH44" i="2"/>
  <c r="CD49" i="2"/>
  <c r="BY52" i="2"/>
  <c r="AH55" i="2"/>
  <c r="BY58" i="2"/>
  <c r="CF61" i="2"/>
  <c r="DW62" i="2"/>
  <c r="CF62" i="2"/>
  <c r="EF62" i="2" s="1"/>
  <c r="BY72" i="2"/>
  <c r="DG75" i="2"/>
  <c r="AH102" i="2"/>
  <c r="EB106" i="2"/>
  <c r="BK107" i="2"/>
  <c r="CX134" i="2"/>
  <c r="CF115" i="2"/>
  <c r="EF115" i="2" s="1"/>
  <c r="DG123" i="2"/>
  <c r="CF124" i="2"/>
  <c r="DX126" i="2"/>
  <c r="CF126" i="2"/>
  <c r="EF126" i="2" s="1"/>
  <c r="BI127" i="2"/>
  <c r="DG127" i="2"/>
  <c r="AH22" i="1"/>
  <c r="DG51" i="1"/>
  <c r="CF80" i="1"/>
  <c r="DF91" i="1"/>
  <c r="DE91" i="1" s="1"/>
  <c r="AH93" i="1"/>
  <c r="AH106" i="1"/>
  <c r="EB115" i="1"/>
  <c r="AH118" i="1"/>
  <c r="AH8" i="2"/>
  <c r="AG8" i="2" s="1"/>
  <c r="BF8" i="2" s="1"/>
  <c r="AJ136" i="2"/>
  <c r="EB17" i="2"/>
  <c r="CD22" i="2"/>
  <c r="CM131" i="2"/>
  <c r="AR137" i="2"/>
  <c r="AH38" i="2"/>
  <c r="AH49" i="2"/>
  <c r="AH58" i="2"/>
  <c r="DG59" i="2"/>
  <c r="DE59" i="2" s="1"/>
  <c r="AH60" i="2"/>
  <c r="BI60" i="2"/>
  <c r="BZ62" i="2"/>
  <c r="CD65" i="2"/>
  <c r="AH66" i="2"/>
  <c r="AH67" i="2"/>
  <c r="BI67" i="2"/>
  <c r="AH71" i="2"/>
  <c r="AH72" i="2"/>
  <c r="AH80" i="2"/>
  <c r="CF80" i="2"/>
  <c r="EF80" i="2" s="1"/>
  <c r="BH83" i="2"/>
  <c r="AH98" i="2"/>
  <c r="AS133" i="2"/>
  <c r="DC129" i="2"/>
  <c r="AJ134" i="2"/>
  <c r="CJ134" i="2"/>
  <c r="CF113" i="2"/>
  <c r="EF113" i="2" s="1"/>
  <c r="AH117" i="2"/>
  <c r="CF117" i="2"/>
  <c r="EF117" i="2" s="1"/>
  <c r="AH119" i="2"/>
  <c r="CF119" i="2"/>
  <c r="EF119" i="2" s="1"/>
  <c r="BY120" i="2"/>
  <c r="BG120" i="2"/>
  <c r="DW123" i="2"/>
  <c r="AH124" i="2"/>
  <c r="AH126" i="2"/>
  <c r="AM129" i="2"/>
  <c r="AU129" i="2"/>
  <c r="AW50" i="2"/>
  <c r="BE50" i="2"/>
  <c r="AH37" i="2"/>
  <c r="AH52" i="2"/>
  <c r="CX139" i="2"/>
  <c r="CF56" i="2"/>
  <c r="EF56" i="2" s="1"/>
  <c r="AH69" i="2"/>
  <c r="BI69" i="2"/>
  <c r="AX77" i="2"/>
  <c r="BJ97" i="2"/>
  <c r="CF83" i="2"/>
  <c r="EF83" i="2" s="1"/>
  <c r="BG124" i="2"/>
  <c r="CF125" i="2"/>
  <c r="EF125" i="2" s="1"/>
  <c r="DE102" i="2"/>
  <c r="CE120" i="2"/>
  <c r="DD120" i="2" s="1"/>
  <c r="BH138" i="2"/>
  <c r="DE7" i="2"/>
  <c r="DF136" i="2"/>
  <c r="AG19" i="2"/>
  <c r="BF19" i="2" s="1"/>
  <c r="DE20" i="2"/>
  <c r="DE21" i="2"/>
  <c r="BG22" i="2"/>
  <c r="DE22" i="2"/>
  <c r="AG23" i="2"/>
  <c r="BF23" i="2" s="1"/>
  <c r="L131" i="2"/>
  <c r="Z131" i="2"/>
  <c r="BG46" i="2"/>
  <c r="DH77" i="2"/>
  <c r="DP77" i="2"/>
  <c r="CE64" i="2"/>
  <c r="DD64" i="2" s="1"/>
  <c r="BG81" i="2"/>
  <c r="DE84" i="2"/>
  <c r="AG91" i="2"/>
  <c r="BF91" i="2" s="1"/>
  <c r="AM140" i="2"/>
  <c r="BG99" i="2"/>
  <c r="AG111" i="2"/>
  <c r="BF111" i="2" s="1"/>
  <c r="CE112" i="2"/>
  <c r="DD112" i="2" s="1"/>
  <c r="AG116" i="2"/>
  <c r="BF116" i="2" s="1"/>
  <c r="DE116" i="2"/>
  <c r="AG117" i="2"/>
  <c r="BF117" i="2" s="1"/>
  <c r="DE9" i="2"/>
  <c r="BM136" i="2"/>
  <c r="BQ136" i="2"/>
  <c r="BU136" i="2"/>
  <c r="BY136" i="2"/>
  <c r="CC136" i="2"/>
  <c r="DL136" i="2"/>
  <c r="DP136" i="2"/>
  <c r="DT136" i="2"/>
  <c r="DX136" i="2"/>
  <c r="AG20" i="2"/>
  <c r="BF20" i="2" s="1"/>
  <c r="AG21" i="2"/>
  <c r="BF21" i="2" s="1"/>
  <c r="N131" i="2"/>
  <c r="W131" i="2"/>
  <c r="AU131" i="2"/>
  <c r="BJ50" i="2"/>
  <c r="BN50" i="2"/>
  <c r="BW50" i="2"/>
  <c r="CA50" i="2"/>
  <c r="AG30" i="2"/>
  <c r="BF30" i="2" s="1"/>
  <c r="DM34" i="2"/>
  <c r="DE34" i="2" s="1"/>
  <c r="DZ139" i="2"/>
  <c r="BN77" i="2"/>
  <c r="BV77" i="2"/>
  <c r="BG60" i="2"/>
  <c r="AG67" i="2"/>
  <c r="BF67" i="2" s="1"/>
  <c r="BG67" i="2"/>
  <c r="AG72" i="2"/>
  <c r="BF72" i="2" s="1"/>
  <c r="AG84" i="2"/>
  <c r="BF84" i="2" s="1"/>
  <c r="AG92" i="2"/>
  <c r="BF92" i="2" s="1"/>
  <c r="CE92" i="2"/>
  <c r="DD92" i="2" s="1"/>
  <c r="CE93" i="2"/>
  <c r="DD93" i="2" s="1"/>
  <c r="DM133" i="2"/>
  <c r="DE99" i="2"/>
  <c r="DE110" i="2"/>
  <c r="CE111" i="2"/>
  <c r="DD111" i="2" s="1"/>
  <c r="AG112" i="2"/>
  <c r="BF112" i="2" s="1"/>
  <c r="AG120" i="2"/>
  <c r="BF120" i="2" s="1"/>
  <c r="CE126" i="2"/>
  <c r="DD126" i="2" s="1"/>
  <c r="L140" i="2"/>
  <c r="CB138" i="2"/>
  <c r="DE8" i="2"/>
  <c r="CE12" i="2"/>
  <c r="DD12" i="2" s="1"/>
  <c r="BN136" i="2"/>
  <c r="BR136" i="2"/>
  <c r="DH136" i="2"/>
  <c r="DM136" i="2"/>
  <c r="DU136" i="2"/>
  <c r="DY136" i="2"/>
  <c r="CE15" i="2"/>
  <c r="DD15" i="2" s="1"/>
  <c r="CE19" i="2"/>
  <c r="DD19" i="2" s="1"/>
  <c r="CE21" i="2"/>
  <c r="DD21" i="2" s="1"/>
  <c r="AM131" i="2"/>
  <c r="BK50" i="2"/>
  <c r="BG26" i="2"/>
  <c r="BM50" i="2"/>
  <c r="BU50" i="2"/>
  <c r="CC50" i="2"/>
  <c r="DE28" i="2"/>
  <c r="DE46" i="2"/>
  <c r="DJ139" i="2"/>
  <c r="DN139" i="2"/>
  <c r="DR139" i="2"/>
  <c r="DV139" i="2"/>
  <c r="CE67" i="2"/>
  <c r="DD67" i="2" s="1"/>
  <c r="BG69" i="2"/>
  <c r="DE73" i="2"/>
  <c r="DE74" i="2"/>
  <c r="BZ97" i="2"/>
  <c r="DE80" i="2"/>
  <c r="BR97" i="2"/>
  <c r="CE84" i="2"/>
  <c r="DD84" i="2" s="1"/>
  <c r="BG92" i="2"/>
  <c r="DU134" i="2"/>
  <c r="BG109" i="2"/>
  <c r="CE116" i="2"/>
  <c r="DD116" i="2" s="1"/>
  <c r="BG117" i="2"/>
  <c r="DE117" i="2"/>
  <c r="DE121" i="2"/>
  <c r="DE123" i="2"/>
  <c r="AG126" i="2"/>
  <c r="BF126" i="2" s="1"/>
  <c r="BG7" i="2"/>
  <c r="AG6" i="2"/>
  <c r="BF6" i="2" s="1"/>
  <c r="BG11" i="2"/>
  <c r="DI138" i="2"/>
  <c r="DU138" i="2"/>
  <c r="DU24" i="2"/>
  <c r="BJ138" i="2"/>
  <c r="BJ24" i="2"/>
  <c r="BN138" i="2"/>
  <c r="BN24" i="2"/>
  <c r="BV138" i="2"/>
  <c r="BV24" i="2"/>
  <c r="CD6" i="2"/>
  <c r="AA138" i="2"/>
  <c r="AA24" i="2"/>
  <c r="AJ138" i="2"/>
  <c r="BK138" i="2"/>
  <c r="BO138" i="2"/>
  <c r="BO24" i="2"/>
  <c r="BW138" i="2"/>
  <c r="BW24" i="2"/>
  <c r="CA138" i="2"/>
  <c r="CA24" i="2"/>
  <c r="CE6" i="2"/>
  <c r="DD6" i="2" s="1"/>
  <c r="DH138" i="2"/>
  <c r="DL138" i="2"/>
  <c r="DP138" i="2"/>
  <c r="DT138" i="2"/>
  <c r="EB6" i="2"/>
  <c r="BI8" i="2"/>
  <c r="CF9" i="2"/>
  <c r="AL138" i="2"/>
  <c r="AL24" i="2"/>
  <c r="AG12" i="2"/>
  <c r="BF12" i="2" s="1"/>
  <c r="BH136" i="2"/>
  <c r="BL136" i="2"/>
  <c r="BP136" i="2"/>
  <c r="BT136" i="2"/>
  <c r="CB136" i="2"/>
  <c r="DK136" i="2"/>
  <c r="DO136" i="2"/>
  <c r="DS136" i="2"/>
  <c r="DW136" i="2"/>
  <c r="EA136" i="2"/>
  <c r="DI13" i="2"/>
  <c r="DI24" i="2" s="1"/>
  <c r="BK13" i="2"/>
  <c r="AH13" i="2"/>
  <c r="AY136" i="2"/>
  <c r="BI13" i="2"/>
  <c r="CW136" i="2"/>
  <c r="DV13" i="2"/>
  <c r="EB15" i="2"/>
  <c r="AF24" i="2"/>
  <c r="BL24" i="2"/>
  <c r="CB24" i="2"/>
  <c r="CJ24" i="2"/>
  <c r="DP24" i="2"/>
  <c r="G25" i="2"/>
  <c r="AG25" i="2" s="1"/>
  <c r="BF25" i="2" s="1"/>
  <c r="AS137" i="2"/>
  <c r="BR25" i="2"/>
  <c r="DR137" i="2"/>
  <c r="DR50" i="2"/>
  <c r="DU50" i="2"/>
  <c r="DY50" i="2"/>
  <c r="BA137" i="2"/>
  <c r="BZ29" i="2"/>
  <c r="CF31" i="2"/>
  <c r="CE31" i="2" s="1"/>
  <c r="DD31" i="2" s="1"/>
  <c r="DM31" i="2"/>
  <c r="CE34" i="2"/>
  <c r="DD34" i="2" s="1"/>
  <c r="AA50" i="2"/>
  <c r="BO37" i="2"/>
  <c r="BG37" i="2" s="1"/>
  <c r="G37" i="2"/>
  <c r="AG38" i="2"/>
  <c r="BF38" i="2" s="1"/>
  <c r="DE41" i="2"/>
  <c r="DG43" i="2"/>
  <c r="DA43" i="2"/>
  <c r="AT137" i="2"/>
  <c r="AT50" i="2"/>
  <c r="AG53" i="2"/>
  <c r="BF53" i="2" s="1"/>
  <c r="DE58" i="2"/>
  <c r="DG67" i="2"/>
  <c r="AY138" i="2"/>
  <c r="AY24" i="2"/>
  <c r="DM138" i="2"/>
  <c r="DM24" i="2"/>
  <c r="DY138" i="2"/>
  <c r="DY24" i="2"/>
  <c r="CW138" i="2"/>
  <c r="CW24" i="2"/>
  <c r="CC10" i="2"/>
  <c r="BG10" i="2" s="1"/>
  <c r="AE138" i="2"/>
  <c r="AE24" i="2"/>
  <c r="U136" i="2"/>
  <c r="U24" i="2"/>
  <c r="DQ13" i="2"/>
  <c r="BS13" i="2"/>
  <c r="BS136" i="2" s="1"/>
  <c r="CF136" i="2"/>
  <c r="EF137" i="2" s="1"/>
  <c r="AG15" i="2"/>
  <c r="BF15" i="2" s="1"/>
  <c r="AH17" i="2"/>
  <c r="AG17" i="2" s="1"/>
  <c r="BF17" i="2" s="1"/>
  <c r="BX17" i="2"/>
  <c r="BG19" i="2"/>
  <c r="BP24" i="2"/>
  <c r="DT24" i="2"/>
  <c r="R137" i="2"/>
  <c r="R50" i="2"/>
  <c r="BP25" i="2"/>
  <c r="CE25" i="2"/>
  <c r="CQ137" i="2"/>
  <c r="CQ50" i="2"/>
  <c r="DP25" i="2"/>
  <c r="AJ137" i="2"/>
  <c r="AJ50" i="2"/>
  <c r="AH26" i="2"/>
  <c r="AG26" i="2" s="1"/>
  <c r="BF26" i="2" s="1"/>
  <c r="CH137" i="2"/>
  <c r="CF26" i="2"/>
  <c r="CH50" i="2"/>
  <c r="DG26" i="2"/>
  <c r="DT27" i="2"/>
  <c r="BV27" i="2"/>
  <c r="AG28" i="2"/>
  <c r="BF28" i="2" s="1"/>
  <c r="CE28" i="2"/>
  <c r="DD28" i="2" s="1"/>
  <c r="AH31" i="2"/>
  <c r="AG31" i="2" s="1"/>
  <c r="BF31" i="2" s="1"/>
  <c r="BO31" i="2"/>
  <c r="AH32" i="2"/>
  <c r="BZ32" i="2"/>
  <c r="AH34" i="2"/>
  <c r="AG34" i="2" s="1"/>
  <c r="BF34" i="2" s="1"/>
  <c r="DM39" i="2"/>
  <c r="BO39" i="2"/>
  <c r="BG39" i="2" s="1"/>
  <c r="G39" i="2"/>
  <c r="I39" i="2" s="1"/>
  <c r="CF42" i="2"/>
  <c r="CX42" i="2"/>
  <c r="CF47" i="2"/>
  <c r="CE47" i="2" s="1"/>
  <c r="DD47" i="2" s="1"/>
  <c r="DW47" i="2"/>
  <c r="K50" i="2"/>
  <c r="BI49" i="2"/>
  <c r="BG49" i="2" s="1"/>
  <c r="G49" i="2"/>
  <c r="BG52" i="2"/>
  <c r="BG56" i="2"/>
  <c r="CE57" i="2"/>
  <c r="DD57" i="2" s="1"/>
  <c r="CV139" i="2"/>
  <c r="CV77" i="2"/>
  <c r="DU66" i="2"/>
  <c r="BX6" i="2"/>
  <c r="I6" i="2"/>
  <c r="BE138" i="2"/>
  <c r="BE24" i="2"/>
  <c r="BM138" i="2"/>
  <c r="BM24" i="2"/>
  <c r="BQ138" i="2"/>
  <c r="BQ24" i="2"/>
  <c r="BU138" i="2"/>
  <c r="BU24" i="2"/>
  <c r="BY138" i="2"/>
  <c r="BY24" i="2"/>
  <c r="CC24" i="2"/>
  <c r="CH138" i="2"/>
  <c r="CH24" i="2"/>
  <c r="DF138" i="2"/>
  <c r="DF24" i="2"/>
  <c r="DJ138" i="2"/>
  <c r="DJ24" i="2"/>
  <c r="DN138" i="2"/>
  <c r="DN24" i="2"/>
  <c r="DR138" i="2"/>
  <c r="DR24" i="2"/>
  <c r="DZ138" i="2"/>
  <c r="DZ24" i="2"/>
  <c r="CD9" i="2"/>
  <c r="BG9" i="2" s="1"/>
  <c r="G11" i="2"/>
  <c r="I11" i="2" s="1"/>
  <c r="I12" i="2"/>
  <c r="DE12" i="2"/>
  <c r="G13" i="2"/>
  <c r="I13" i="2" s="1"/>
  <c r="EB13" i="2"/>
  <c r="EB136" i="2" s="1"/>
  <c r="BX14" i="2"/>
  <c r="AH14" i="2"/>
  <c r="DV14" i="2"/>
  <c r="DV136" i="2" s="1"/>
  <c r="CF14" i="2"/>
  <c r="K136" i="2"/>
  <c r="DG15" i="2"/>
  <c r="BI15" i="2"/>
  <c r="DV15" i="2"/>
  <c r="BG16" i="2"/>
  <c r="AB138" i="2"/>
  <c r="BZ17" i="2"/>
  <c r="BZ24" i="2" s="1"/>
  <c r="DX17" i="2"/>
  <c r="DX138" i="2" s="1"/>
  <c r="DV17" i="2"/>
  <c r="DV138" i="2" s="1"/>
  <c r="CF17" i="2"/>
  <c r="CE17" i="2" s="1"/>
  <c r="DD17" i="2" s="1"/>
  <c r="U138" i="2"/>
  <c r="DQ18" i="2"/>
  <c r="DE18" i="2" s="1"/>
  <c r="G18" i="2"/>
  <c r="AG18" i="2" s="1"/>
  <c r="BF18" i="2" s="1"/>
  <c r="H131" i="2"/>
  <c r="AJ24" i="2"/>
  <c r="BD24" i="2"/>
  <c r="BT24" i="2"/>
  <c r="DH24" i="2"/>
  <c r="DX24" i="2"/>
  <c r="BH137" i="2"/>
  <c r="BH50" i="2"/>
  <c r="BL137" i="2"/>
  <c r="BL50" i="2"/>
  <c r="BX137" i="2"/>
  <c r="BX50" i="2"/>
  <c r="DN25" i="2"/>
  <c r="CN27" i="2"/>
  <c r="DM29" i="2"/>
  <c r="BG29" i="2"/>
  <c r="DE31" i="2"/>
  <c r="BO33" i="2"/>
  <c r="BG33" i="2" s="1"/>
  <c r="G33" i="2"/>
  <c r="I33" i="2" s="1"/>
  <c r="AH35" i="2"/>
  <c r="AG35" i="2" s="1"/>
  <c r="BF35" i="2" s="1"/>
  <c r="DG35" i="2"/>
  <c r="DC35" i="2"/>
  <c r="CF35" i="2" s="1"/>
  <c r="CE35" i="2" s="1"/>
  <c r="DD35" i="2" s="1"/>
  <c r="G36" i="2"/>
  <c r="I36" i="2" s="1"/>
  <c r="EB36" i="2"/>
  <c r="AG37" i="2"/>
  <c r="BF37" i="2" s="1"/>
  <c r="CF39" i="2"/>
  <c r="DG39" i="2"/>
  <c r="DE39" i="2" s="1"/>
  <c r="DE40" i="2"/>
  <c r="DM42" i="2"/>
  <c r="AG43" i="2"/>
  <c r="BF43" i="2" s="1"/>
  <c r="U137" i="2"/>
  <c r="DQ44" i="2"/>
  <c r="BS44" i="2"/>
  <c r="DQ45" i="2"/>
  <c r="BS45" i="2"/>
  <c r="CE45" i="2"/>
  <c r="DD45" i="2" s="1"/>
  <c r="DG49" i="2"/>
  <c r="DE49" i="2" s="1"/>
  <c r="AS50" i="2"/>
  <c r="AG57" i="2"/>
  <c r="BF57" i="2" s="1"/>
  <c r="AG60" i="2"/>
  <c r="BF60" i="2" s="1"/>
  <c r="K138" i="2"/>
  <c r="K24" i="2"/>
  <c r="BR138" i="2"/>
  <c r="BR24" i="2"/>
  <c r="DC138" i="2"/>
  <c r="DC24" i="2"/>
  <c r="DG6" i="2"/>
  <c r="DK138" i="2"/>
  <c r="DK24" i="2"/>
  <c r="DO138" i="2"/>
  <c r="DO24" i="2"/>
  <c r="DS138" i="2"/>
  <c r="DS24" i="2"/>
  <c r="DW24" i="2"/>
  <c r="CF8" i="2"/>
  <c r="CE8" i="2" s="1"/>
  <c r="DD8" i="2" s="1"/>
  <c r="G9" i="2"/>
  <c r="I9" i="2" s="1"/>
  <c r="AH10" i="2"/>
  <c r="AG10" i="2" s="1"/>
  <c r="BF10" i="2" s="1"/>
  <c r="EA11" i="2"/>
  <c r="DE11" i="2" s="1"/>
  <c r="M136" i="2"/>
  <c r="M24" i="2"/>
  <c r="BK12" i="2"/>
  <c r="BK136" i="2" s="1"/>
  <c r="CD13" i="2"/>
  <c r="BG13" i="2" s="1"/>
  <c r="DE19" i="2"/>
  <c r="CR138" i="2"/>
  <c r="DQ23" i="2"/>
  <c r="DE23" i="2" s="1"/>
  <c r="CF23" i="2"/>
  <c r="CE23" i="2" s="1"/>
  <c r="DD23" i="2" s="1"/>
  <c r="BH24" i="2"/>
  <c r="DL24" i="2"/>
  <c r="BT137" i="2"/>
  <c r="BT50" i="2"/>
  <c r="DF137" i="2"/>
  <c r="DF50" i="2"/>
  <c r="DJ137" i="2"/>
  <c r="DJ50" i="2"/>
  <c r="DV137" i="2"/>
  <c r="DV50" i="2"/>
  <c r="DE26" i="2"/>
  <c r="BO27" i="2"/>
  <c r="BG27" i="2" s="1"/>
  <c r="AH27" i="2"/>
  <c r="AG27" i="2" s="1"/>
  <c r="BF27" i="2" s="1"/>
  <c r="BG31" i="2"/>
  <c r="DM32" i="2"/>
  <c r="DE32" i="2" s="1"/>
  <c r="BO32" i="2"/>
  <c r="BG32" i="2" s="1"/>
  <c r="G32" i="2"/>
  <c r="I32" i="2" s="1"/>
  <c r="AZ137" i="2"/>
  <c r="AZ50" i="2"/>
  <c r="AH36" i="2"/>
  <c r="AG36" i="2" s="1"/>
  <c r="BF36" i="2" s="1"/>
  <c r="CX50" i="2"/>
  <c r="DM38" i="2"/>
  <c r="DE38" i="2" s="1"/>
  <c r="CF38" i="2"/>
  <c r="CE38" i="2" s="1"/>
  <c r="DD38" i="2" s="1"/>
  <c r="AG39" i="2"/>
  <c r="BF39" i="2" s="1"/>
  <c r="DW42" i="2"/>
  <c r="DE42" i="2" s="1"/>
  <c r="BY42" i="2"/>
  <c r="BG42" i="2" s="1"/>
  <c r="AG45" i="2"/>
  <c r="BF45" i="2" s="1"/>
  <c r="AX137" i="2"/>
  <c r="AX50" i="2"/>
  <c r="CV137" i="2"/>
  <c r="CV50" i="2"/>
  <c r="CV131" i="2" s="1"/>
  <c r="BG47" i="2"/>
  <c r="DE47" i="2"/>
  <c r="BA50" i="2"/>
  <c r="DE54" i="2"/>
  <c r="CE60" i="2"/>
  <c r="DD60" i="2" s="1"/>
  <c r="BG61" i="2"/>
  <c r="AF139" i="2"/>
  <c r="AF77" i="2"/>
  <c r="BE139" i="2"/>
  <c r="BE77" i="2"/>
  <c r="BM139" i="2"/>
  <c r="BM77" i="2"/>
  <c r="BQ139" i="2"/>
  <c r="BQ77" i="2"/>
  <c r="BU139" i="2"/>
  <c r="BU77" i="2"/>
  <c r="CC139" i="2"/>
  <c r="CC77" i="2"/>
  <c r="CH139" i="2"/>
  <c r="DW52" i="2"/>
  <c r="BI53" i="2"/>
  <c r="BG53" i="2" s="1"/>
  <c r="DG53" i="2"/>
  <c r="DE53" i="2" s="1"/>
  <c r="BA139" i="2"/>
  <c r="BA77" i="2"/>
  <c r="DG55" i="2"/>
  <c r="DE55" i="2" s="1"/>
  <c r="BI57" i="2"/>
  <c r="BG57" i="2" s="1"/>
  <c r="DG57" i="2"/>
  <c r="DE57" i="2" s="1"/>
  <c r="DW61" i="2"/>
  <c r="DE61" i="2" s="1"/>
  <c r="BI62" i="2"/>
  <c r="BG62" i="2" s="1"/>
  <c r="DW63" i="2"/>
  <c r="BG65" i="2"/>
  <c r="EB65" i="2"/>
  <c r="BI66" i="2"/>
  <c r="EB67" i="2"/>
  <c r="CE70" i="2"/>
  <c r="DD70" i="2" s="1"/>
  <c r="DW75" i="2"/>
  <c r="DE75" i="2" s="1"/>
  <c r="BY75" i="2"/>
  <c r="K77" i="2"/>
  <c r="AA77" i="2"/>
  <c r="AN77" i="2"/>
  <c r="AN131" i="2" s="1"/>
  <c r="DF77" i="2"/>
  <c r="DN77" i="2"/>
  <c r="DV77" i="2"/>
  <c r="AG82" i="2"/>
  <c r="BF82" i="2" s="1"/>
  <c r="I82" i="2"/>
  <c r="CE85" i="2"/>
  <c r="DD85" i="2" s="1"/>
  <c r="G87" i="2"/>
  <c r="I87" i="2" s="1"/>
  <c r="BY87" i="2"/>
  <c r="CA88" i="2"/>
  <c r="BG88" i="2" s="1"/>
  <c r="AH88" i="2"/>
  <c r="AG88" i="2" s="1"/>
  <c r="BF88" i="2" s="1"/>
  <c r="CE102" i="2"/>
  <c r="DD102" i="2" s="1"/>
  <c r="I102" i="2"/>
  <c r="G14" i="2"/>
  <c r="I14" i="2" s="1"/>
  <c r="DQ15" i="2"/>
  <c r="DQ136" i="2" s="1"/>
  <c r="G16" i="2"/>
  <c r="CF22" i="2"/>
  <c r="BS23" i="2"/>
  <c r="BS138" i="2" s="1"/>
  <c r="BA24" i="2"/>
  <c r="CO131" i="2"/>
  <c r="CS131" i="2"/>
  <c r="S137" i="2"/>
  <c r="AP137" i="2"/>
  <c r="AW137" i="2"/>
  <c r="BM137" i="2"/>
  <c r="BQ25" i="2"/>
  <c r="BU137" i="2"/>
  <c r="CC137" i="2"/>
  <c r="DK137" i="2"/>
  <c r="DO25" i="2"/>
  <c r="DS137" i="2"/>
  <c r="EA137" i="2"/>
  <c r="AF137" i="2"/>
  <c r="BE137" i="2"/>
  <c r="DN27" i="2"/>
  <c r="CN33" i="2"/>
  <c r="CF33" i="2" s="1"/>
  <c r="CE33" i="2" s="1"/>
  <c r="DD33" i="2" s="1"/>
  <c r="CD34" i="2"/>
  <c r="CD35" i="2"/>
  <c r="BG35" i="2" s="1"/>
  <c r="BY36" i="2"/>
  <c r="BY50" i="2" s="1"/>
  <c r="DM36" i="2"/>
  <c r="CN37" i="2"/>
  <c r="CF37" i="2" s="1"/>
  <c r="CE37" i="2" s="1"/>
  <c r="DD37" i="2" s="1"/>
  <c r="CF41" i="2"/>
  <c r="G42" i="2"/>
  <c r="I42" i="2" s="1"/>
  <c r="CD43" i="2"/>
  <c r="G44" i="2"/>
  <c r="I44" i="2" s="1"/>
  <c r="BO44" i="2"/>
  <c r="BG44" i="2" s="1"/>
  <c r="AH46" i="2"/>
  <c r="AG46" i="2" s="1"/>
  <c r="BF46" i="2" s="1"/>
  <c r="CF46" i="2"/>
  <c r="CF48" i="2"/>
  <c r="EB48" i="2"/>
  <c r="DE48" i="2" s="1"/>
  <c r="AD50" i="2"/>
  <c r="AP50" i="2"/>
  <c r="CP50" i="2"/>
  <c r="CP131" i="2" s="1"/>
  <c r="I51" i="2"/>
  <c r="BJ139" i="2"/>
  <c r="BN139" i="2"/>
  <c r="BR139" i="2"/>
  <c r="BV139" i="2"/>
  <c r="CD51" i="2"/>
  <c r="DO139" i="2"/>
  <c r="DO77" i="2"/>
  <c r="DS139" i="2"/>
  <c r="DS77" i="2"/>
  <c r="EA139" i="2"/>
  <c r="EA77" i="2"/>
  <c r="G55" i="2"/>
  <c r="AG55" i="2" s="1"/>
  <c r="BF55" i="2" s="1"/>
  <c r="DG56" i="2"/>
  <c r="DE56" i="2" s="1"/>
  <c r="DW56" i="2"/>
  <c r="BI58" i="2"/>
  <c r="BG58" i="2" s="1"/>
  <c r="BI59" i="2"/>
  <c r="BG59" i="2" s="1"/>
  <c r="CL139" i="2"/>
  <c r="G63" i="2"/>
  <c r="I63" i="2" s="1"/>
  <c r="BG63" i="2"/>
  <c r="DC63" i="2"/>
  <c r="CF63" i="2" s="1"/>
  <c r="EF63" i="2" s="1"/>
  <c r="EB63" i="2"/>
  <c r="CF66" i="2"/>
  <c r="G69" i="2"/>
  <c r="I69" i="2" s="1"/>
  <c r="DG70" i="2"/>
  <c r="BI70" i="2"/>
  <c r="G73" i="2"/>
  <c r="CE73" i="2"/>
  <c r="DD73" i="2" s="1"/>
  <c r="CE74" i="2"/>
  <c r="DD74" i="2" s="1"/>
  <c r="BB135" i="2"/>
  <c r="BB97" i="2"/>
  <c r="BO135" i="2"/>
  <c r="BO97" i="2"/>
  <c r="BS135" i="2"/>
  <c r="BS97" i="2"/>
  <c r="BW135" i="2"/>
  <c r="BW97" i="2"/>
  <c r="CA78" i="2"/>
  <c r="DJ135" i="2"/>
  <c r="DJ97" i="2"/>
  <c r="DN135" i="2"/>
  <c r="DN97" i="2"/>
  <c r="BG80" i="2"/>
  <c r="AG81" i="2"/>
  <c r="BF81" i="2" s="1"/>
  <c r="I81" i="2"/>
  <c r="AZ135" i="2"/>
  <c r="AZ97" i="2"/>
  <c r="BY83" i="2"/>
  <c r="CF86" i="2"/>
  <c r="CE86" i="2" s="1"/>
  <c r="DD86" i="2" s="1"/>
  <c r="DY86" i="2"/>
  <c r="DY89" i="2"/>
  <c r="CF89" i="2"/>
  <c r="CH135" i="2"/>
  <c r="DG95" i="2"/>
  <c r="AL97" i="2"/>
  <c r="AS140" i="2"/>
  <c r="BG100" i="2"/>
  <c r="BJ133" i="2"/>
  <c r="BI107" i="2"/>
  <c r="BG107" i="2" s="1"/>
  <c r="G107" i="2"/>
  <c r="I107" i="2" s="1"/>
  <c r="DG107" i="2"/>
  <c r="DE107" i="2" s="1"/>
  <c r="AW134" i="2"/>
  <c r="BV113" i="2"/>
  <c r="BW129" i="2"/>
  <c r="AD131" i="2"/>
  <c r="AP131" i="2"/>
  <c r="AT24" i="2"/>
  <c r="AX131" i="2"/>
  <c r="X137" i="2"/>
  <c r="BJ137" i="2"/>
  <c r="BN137" i="2"/>
  <c r="BV25" i="2"/>
  <c r="BZ137" i="2"/>
  <c r="CD137" i="2"/>
  <c r="DH137" i="2"/>
  <c r="DL137" i="2"/>
  <c r="DT25" i="2"/>
  <c r="DX137" i="2"/>
  <c r="DC137" i="2"/>
  <c r="DN29" i="2"/>
  <c r="CX137" i="2"/>
  <c r="S50" i="2"/>
  <c r="AQ50" i="2"/>
  <c r="AQ131" i="2" s="1"/>
  <c r="BC50" i="2"/>
  <c r="CU50" i="2"/>
  <c r="CU131" i="2" s="1"/>
  <c r="CY50" i="2"/>
  <c r="DC50" i="2"/>
  <c r="DK50" i="2"/>
  <c r="DS50" i="2"/>
  <c r="EA50" i="2"/>
  <c r="K139" i="2"/>
  <c r="AH51" i="2"/>
  <c r="BG51" i="2"/>
  <c r="BK139" i="2"/>
  <c r="BK77" i="2"/>
  <c r="BO139" i="2"/>
  <c r="BO77" i="2"/>
  <c r="BS139" i="2"/>
  <c r="BS77" i="2"/>
  <c r="CA139" i="2"/>
  <c r="CA77" i="2"/>
  <c r="DH139" i="2"/>
  <c r="DL139" i="2"/>
  <c r="DP139" i="2"/>
  <c r="DT139" i="2"/>
  <c r="EB51" i="2"/>
  <c r="CF52" i="2"/>
  <c r="EF52" i="2" s="1"/>
  <c r="G54" i="2"/>
  <c r="I54" i="2" s="1"/>
  <c r="BI54" i="2"/>
  <c r="BG54" i="2" s="1"/>
  <c r="AB139" i="2"/>
  <c r="AB77" i="2"/>
  <c r="AB131" i="2" s="1"/>
  <c r="BZ55" i="2"/>
  <c r="BZ139" i="2" s="1"/>
  <c r="G56" i="2"/>
  <c r="I56" i="2" s="1"/>
  <c r="G58" i="2"/>
  <c r="I58" i="2" s="1"/>
  <c r="DG60" i="2"/>
  <c r="DE60" i="2" s="1"/>
  <c r="G62" i="2"/>
  <c r="I62" i="2" s="1"/>
  <c r="AN139" i="2"/>
  <c r="AH63" i="2"/>
  <c r="AG63" i="2" s="1"/>
  <c r="BF63" i="2" s="1"/>
  <c r="G65" i="2"/>
  <c r="I65" i="2" s="1"/>
  <c r="DE65" i="2"/>
  <c r="Y139" i="2"/>
  <c r="BW66" i="2"/>
  <c r="BW77" i="2" s="1"/>
  <c r="G66" i="2"/>
  <c r="I66" i="2" s="1"/>
  <c r="DG66" i="2"/>
  <c r="DE66" i="2" s="1"/>
  <c r="DE67" i="2"/>
  <c r="BI68" i="2"/>
  <c r="G68" i="2"/>
  <c r="I68" i="2" s="1"/>
  <c r="DG68" i="2"/>
  <c r="DE68" i="2" s="1"/>
  <c r="G71" i="2"/>
  <c r="CE71" i="2" s="1"/>
  <c r="DD71" i="2" s="1"/>
  <c r="BY71" i="2"/>
  <c r="BG71" i="2" s="1"/>
  <c r="DW71" i="2"/>
  <c r="DE71" i="2" s="1"/>
  <c r="CF72" i="2"/>
  <c r="BG76" i="2"/>
  <c r="Y77" i="2"/>
  <c r="Y131" i="2" s="1"/>
  <c r="BJ77" i="2"/>
  <c r="BR77" i="2"/>
  <c r="DJ77" i="2"/>
  <c r="DR77" i="2"/>
  <c r="DZ77" i="2"/>
  <c r="AA135" i="2"/>
  <c r="AA97" i="2"/>
  <c r="DW78" i="2"/>
  <c r="DE78" i="2" s="1"/>
  <c r="G78" i="2"/>
  <c r="CG135" i="2"/>
  <c r="CG97" i="2"/>
  <c r="CF78" i="2"/>
  <c r="EF78" i="2" s="1"/>
  <c r="DX135" i="2"/>
  <c r="DX97" i="2"/>
  <c r="CE82" i="2"/>
  <c r="DD82" i="2" s="1"/>
  <c r="AG85" i="2"/>
  <c r="BF85" i="2" s="1"/>
  <c r="AH86" i="2"/>
  <c r="AG86" i="2" s="1"/>
  <c r="BF86" i="2" s="1"/>
  <c r="CA86" i="2"/>
  <c r="BG86" i="2" s="1"/>
  <c r="CA87" i="2"/>
  <c r="AH87" i="2"/>
  <c r="AG87" i="2" s="1"/>
  <c r="BF87" i="2" s="1"/>
  <c r="BO133" i="2"/>
  <c r="DG133" i="2"/>
  <c r="M134" i="2"/>
  <c r="DI103" i="2"/>
  <c r="G103" i="2"/>
  <c r="BK103" i="2"/>
  <c r="AF134" i="2"/>
  <c r="CD103" i="2"/>
  <c r="EB103" i="2"/>
  <c r="DP134" i="2"/>
  <c r="DT134" i="2"/>
  <c r="G118" i="2"/>
  <c r="BY118" i="2"/>
  <c r="DW118" i="2"/>
  <c r="DG13" i="2"/>
  <c r="CD14" i="2"/>
  <c r="G22" i="2"/>
  <c r="I22" i="2" s="1"/>
  <c r="S131" i="2"/>
  <c r="BC131" i="2"/>
  <c r="CQ131" i="2"/>
  <c r="CY24" i="2"/>
  <c r="Q137" i="2"/>
  <c r="BK137" i="2"/>
  <c r="BO25" i="2"/>
  <c r="BS137" i="2"/>
  <c r="BW137" i="2"/>
  <c r="CA137" i="2"/>
  <c r="DI137" i="2"/>
  <c r="DM25" i="2"/>
  <c r="DQ137" i="2"/>
  <c r="DU137" i="2"/>
  <c r="DY137" i="2"/>
  <c r="EB27" i="2"/>
  <c r="BO28" i="2"/>
  <c r="BG28" i="2" s="1"/>
  <c r="G29" i="2"/>
  <c r="I29" i="2" s="1"/>
  <c r="AA137" i="2"/>
  <c r="DW36" i="2"/>
  <c r="DW137" i="2" s="1"/>
  <c r="I37" i="2"/>
  <c r="G40" i="2"/>
  <c r="I40" i="2" s="1"/>
  <c r="CB43" i="2"/>
  <c r="BG43" i="2" s="1"/>
  <c r="K137" i="2"/>
  <c r="BI45" i="2"/>
  <c r="BG45" i="2" s="1"/>
  <c r="DG45" i="2"/>
  <c r="DG50" i="2" s="1"/>
  <c r="G48" i="2"/>
  <c r="I48" i="2" s="1"/>
  <c r="X50" i="2"/>
  <c r="X131" i="2" s="1"/>
  <c r="AF50" i="2"/>
  <c r="AR50" i="2"/>
  <c r="CN50" i="2"/>
  <c r="CN131" i="2" s="1"/>
  <c r="DH50" i="2"/>
  <c r="DL50" i="2"/>
  <c r="DX50" i="2"/>
  <c r="AA139" i="2"/>
  <c r="AJ139" i="2"/>
  <c r="AJ77" i="2"/>
  <c r="BH139" i="2"/>
  <c r="BL139" i="2"/>
  <c r="BP139" i="2"/>
  <c r="BT139" i="2"/>
  <c r="BX139" i="2"/>
  <c r="CB139" i="2"/>
  <c r="CF51" i="2"/>
  <c r="EF51" i="2" s="1"/>
  <c r="DE51" i="2"/>
  <c r="DI139" i="2"/>
  <c r="DI77" i="2"/>
  <c r="DM139" i="2"/>
  <c r="DM77" i="2"/>
  <c r="DQ139" i="2"/>
  <c r="DQ77" i="2"/>
  <c r="DU139" i="2"/>
  <c r="DU77" i="2"/>
  <c r="DY139" i="2"/>
  <c r="DY77" i="2"/>
  <c r="G52" i="2"/>
  <c r="I52" i="2" s="1"/>
  <c r="AZ139" i="2"/>
  <c r="I55" i="2"/>
  <c r="CY139" i="2"/>
  <c r="CY77" i="2"/>
  <c r="DK62" i="2"/>
  <c r="DK139" i="2" s="1"/>
  <c r="DE63" i="2"/>
  <c r="BY68" i="2"/>
  <c r="DX69" i="2"/>
  <c r="DX77" i="2" s="1"/>
  <c r="DG69" i="2"/>
  <c r="DE70" i="2"/>
  <c r="BI72" i="2"/>
  <c r="BG72" i="2" s="1"/>
  <c r="DG72" i="2"/>
  <c r="DE72" i="2" s="1"/>
  <c r="BY74" i="2"/>
  <c r="BG74" i="2" s="1"/>
  <c r="BL77" i="2"/>
  <c r="BT77" i="2"/>
  <c r="CB77" i="2"/>
  <c r="CH77" i="2"/>
  <c r="CL77" i="2"/>
  <c r="CL131" i="2" s="1"/>
  <c r="CX77" i="2"/>
  <c r="DL77" i="2"/>
  <c r="DT77" i="2"/>
  <c r="AH78" i="2"/>
  <c r="BI135" i="2"/>
  <c r="BI97" i="2"/>
  <c r="BM135" i="2"/>
  <c r="BM97" i="2"/>
  <c r="BQ135" i="2"/>
  <c r="BQ97" i="2"/>
  <c r="BU135" i="2"/>
  <c r="BU97" i="2"/>
  <c r="BY78" i="2"/>
  <c r="CC135" i="2"/>
  <c r="CC97" i="2"/>
  <c r="DH135" i="2"/>
  <c r="DH97" i="2"/>
  <c r="DL135" i="2"/>
  <c r="DL97" i="2"/>
  <c r="DP135" i="2"/>
  <c r="DP97" i="2"/>
  <c r="DT135" i="2"/>
  <c r="DT97" i="2"/>
  <c r="AG80" i="2"/>
  <c r="BF80" i="2" s="1"/>
  <c r="CE80" i="2"/>
  <c r="DD80" i="2" s="1"/>
  <c r="CE81" i="2"/>
  <c r="DD81" i="2" s="1"/>
  <c r="BG82" i="2"/>
  <c r="AH83" i="2"/>
  <c r="AG83" i="2" s="1"/>
  <c r="BF83" i="2" s="1"/>
  <c r="CE83" i="2"/>
  <c r="DD83" i="2" s="1"/>
  <c r="DE86" i="2"/>
  <c r="BG89" i="2"/>
  <c r="DE89" i="2"/>
  <c r="DE91" i="2"/>
  <c r="G95" i="2"/>
  <c r="I95" i="2" s="1"/>
  <c r="AH96" i="2"/>
  <c r="BX96" i="2"/>
  <c r="BK101" i="2"/>
  <c r="BK133" i="2" s="1"/>
  <c r="G101" i="2"/>
  <c r="I101" i="2" s="1"/>
  <c r="DI101" i="2"/>
  <c r="AE133" i="2"/>
  <c r="AE140" i="2" s="1"/>
  <c r="EA101" i="2"/>
  <c r="AE129" i="2"/>
  <c r="CC101" i="2"/>
  <c r="AH108" i="2"/>
  <c r="AG108" i="2" s="1"/>
  <c r="BF108" i="2" s="1"/>
  <c r="BK108" i="2"/>
  <c r="BY70" i="2"/>
  <c r="BG70" i="2" s="1"/>
  <c r="G75" i="2"/>
  <c r="I75" i="2" s="1"/>
  <c r="G76" i="2"/>
  <c r="J135" i="2"/>
  <c r="AI135" i="2"/>
  <c r="AI97" i="2"/>
  <c r="BH78" i="2"/>
  <c r="BL135" i="2"/>
  <c r="BL97" i="2"/>
  <c r="BP135" i="2"/>
  <c r="BP97" i="2"/>
  <c r="BT135" i="2"/>
  <c r="BT97" i="2"/>
  <c r="CB135" i="2"/>
  <c r="CB97" i="2"/>
  <c r="DM135" i="2"/>
  <c r="DM97" i="2"/>
  <c r="DQ135" i="2"/>
  <c r="DQ97" i="2"/>
  <c r="DU135" i="2"/>
  <c r="DU97" i="2"/>
  <c r="DY135" i="2"/>
  <c r="DY97" i="2"/>
  <c r="CW135" i="2"/>
  <c r="CW97" i="2"/>
  <c r="DF83" i="2"/>
  <c r="DV83" i="2"/>
  <c r="DV97" i="2" s="1"/>
  <c r="CX87" i="2"/>
  <c r="CF87" i="2" s="1"/>
  <c r="CE87" i="2" s="1"/>
  <c r="DD87" i="2" s="1"/>
  <c r="DW90" i="2"/>
  <c r="DE90" i="2" s="1"/>
  <c r="CF91" i="2"/>
  <c r="DF96" i="2"/>
  <c r="DE96" i="2" s="1"/>
  <c r="G96" i="2"/>
  <c r="I96" i="2" s="1"/>
  <c r="CA133" i="2"/>
  <c r="DI104" i="2"/>
  <c r="DE104" i="2" s="1"/>
  <c r="BK104" i="2"/>
  <c r="BG104" i="2" s="1"/>
  <c r="G104" i="2"/>
  <c r="I104" i="2" s="1"/>
  <c r="I108" i="2"/>
  <c r="CE108" i="2"/>
  <c r="DD108" i="2" s="1"/>
  <c r="BY115" i="2"/>
  <c r="AH115" i="2"/>
  <c r="EB125" i="2"/>
  <c r="CD125" i="2"/>
  <c r="DR135" i="2"/>
  <c r="DZ135" i="2"/>
  <c r="DW83" i="2"/>
  <c r="BY84" i="2"/>
  <c r="BG84" i="2" s="1"/>
  <c r="AF97" i="2"/>
  <c r="AF135" i="2"/>
  <c r="BE135" i="2"/>
  <c r="BE97" i="2"/>
  <c r="DC135" i="2"/>
  <c r="DC97" i="2"/>
  <c r="DE92" i="2"/>
  <c r="BH93" i="2"/>
  <c r="BG93" i="2" s="1"/>
  <c r="DF93" i="2"/>
  <c r="BH94" i="2"/>
  <c r="BG94" i="2" s="1"/>
  <c r="G94" i="2"/>
  <c r="AG94" i="2" s="1"/>
  <c r="BF94" i="2" s="1"/>
  <c r="AH95" i="2"/>
  <c r="AG95" i="2" s="1"/>
  <c r="BF95" i="2" s="1"/>
  <c r="BG96" i="2"/>
  <c r="DZ97" i="2"/>
  <c r="AS129" i="2"/>
  <c r="AS131" i="2" s="1"/>
  <c r="BR98" i="2"/>
  <c r="DK133" i="2"/>
  <c r="DK129" i="2"/>
  <c r="DS133" i="2"/>
  <c r="DS129" i="2"/>
  <c r="EA133" i="2"/>
  <c r="I100" i="2"/>
  <c r="CE100" i="2"/>
  <c r="DD100" i="2" s="1"/>
  <c r="AG100" i="2"/>
  <c r="BF100" i="2" s="1"/>
  <c r="EB100" i="2"/>
  <c r="DE100" i="2" s="1"/>
  <c r="AJ133" i="2"/>
  <c r="AJ129" i="2"/>
  <c r="AH101" i="2"/>
  <c r="AG101" i="2" s="1"/>
  <c r="BF101" i="2" s="1"/>
  <c r="CJ133" i="2"/>
  <c r="CJ140" i="2" s="1"/>
  <c r="CJ129" i="2"/>
  <c r="CF101" i="2"/>
  <c r="AG102" i="2"/>
  <c r="BF102" i="2" s="1"/>
  <c r="AL134" i="2"/>
  <c r="AH103" i="2"/>
  <c r="BU134" i="2"/>
  <c r="DL134" i="2"/>
  <c r="DM106" i="2"/>
  <c r="DE106" i="2" s="1"/>
  <c r="BO106" i="2"/>
  <c r="BO134" i="2" s="1"/>
  <c r="G106" i="2"/>
  <c r="I106" i="2" s="1"/>
  <c r="BG108" i="2"/>
  <c r="AH113" i="2"/>
  <c r="AG113" i="2" s="1"/>
  <c r="BF113" i="2" s="1"/>
  <c r="BE134" i="2"/>
  <c r="BI75" i="2"/>
  <c r="BG75" i="2" s="1"/>
  <c r="BJ135" i="2"/>
  <c r="BN135" i="2"/>
  <c r="BR135" i="2"/>
  <c r="BV135" i="2"/>
  <c r="BZ135" i="2"/>
  <c r="CZ135" i="2"/>
  <c r="CZ97" i="2"/>
  <c r="CZ131" i="2" s="1"/>
  <c r="DG135" i="2"/>
  <c r="DG97" i="2"/>
  <c r="DK135" i="2"/>
  <c r="DK97" i="2"/>
  <c r="DO135" i="2"/>
  <c r="DO97" i="2"/>
  <c r="DS135" i="2"/>
  <c r="DS97" i="2"/>
  <c r="EA135" i="2"/>
  <c r="EA97" i="2"/>
  <c r="AY135" i="2"/>
  <c r="AY97" i="2"/>
  <c r="BX83" i="2"/>
  <c r="CD85" i="2"/>
  <c r="BG85" i="2" s="1"/>
  <c r="EB85" i="2"/>
  <c r="DE85" i="2" s="1"/>
  <c r="CF88" i="2"/>
  <c r="CE88" i="2" s="1"/>
  <c r="DD88" i="2" s="1"/>
  <c r="DW88" i="2"/>
  <c r="DE88" i="2" s="1"/>
  <c r="AH89" i="2"/>
  <c r="AG89" i="2" s="1"/>
  <c r="BF89" i="2" s="1"/>
  <c r="CI135" i="2"/>
  <c r="CI140" i="2" s="1"/>
  <c r="CI97" i="2"/>
  <c r="CI131" i="2" s="1"/>
  <c r="G90" i="2"/>
  <c r="I90" i="2" s="1"/>
  <c r="CD90" i="2"/>
  <c r="BG90" i="2" s="1"/>
  <c r="BY91" i="2"/>
  <c r="BG91" i="2" s="1"/>
  <c r="DW93" i="2"/>
  <c r="AC135" i="2"/>
  <c r="AC97" i="2"/>
  <c r="M135" i="2"/>
  <c r="M97" i="2"/>
  <c r="DI95" i="2"/>
  <c r="DI135" i="2" s="1"/>
  <c r="AJ135" i="2"/>
  <c r="AJ97" i="2"/>
  <c r="BK95" i="2"/>
  <c r="BK135" i="2" s="1"/>
  <c r="CF95" i="2"/>
  <c r="CE95" i="2" s="1"/>
  <c r="DD95" i="2" s="1"/>
  <c r="BN97" i="2"/>
  <c r="CD97" i="2"/>
  <c r="BS133" i="2"/>
  <c r="CT133" i="2"/>
  <c r="CT140" i="2" s="1"/>
  <c r="CT129" i="2"/>
  <c r="CT131" i="2" s="1"/>
  <c r="CF98" i="2"/>
  <c r="EF98" i="2" s="1"/>
  <c r="K129" i="2"/>
  <c r="BG102" i="2"/>
  <c r="BM134" i="2"/>
  <c r="DH134" i="2"/>
  <c r="AG104" i="2"/>
  <c r="BF104" i="2" s="1"/>
  <c r="CE104" i="2"/>
  <c r="DD104" i="2" s="1"/>
  <c r="CR134" i="2"/>
  <c r="CR129" i="2"/>
  <c r="CR131" i="2" s="1"/>
  <c r="CF106" i="2"/>
  <c r="AG107" i="2"/>
  <c r="BF107" i="2" s="1"/>
  <c r="CF109" i="2"/>
  <c r="EB109" i="2"/>
  <c r="DE109" i="2" s="1"/>
  <c r="BG111" i="2"/>
  <c r="EB111" i="2"/>
  <c r="DE111" i="2" s="1"/>
  <c r="M133" i="2"/>
  <c r="M129" i="2"/>
  <c r="AV133" i="2"/>
  <c r="AV140" i="2" s="1"/>
  <c r="AV129" i="2"/>
  <c r="AV131" i="2" s="1"/>
  <c r="BH98" i="2"/>
  <c r="BL133" i="2"/>
  <c r="BL129" i="2"/>
  <c r="BX133" i="2"/>
  <c r="BX129" i="2"/>
  <c r="CB133" i="2"/>
  <c r="CB129" i="2"/>
  <c r="DH133" i="2"/>
  <c r="DH129" i="2"/>
  <c r="DL133" i="2"/>
  <c r="DL140" i="2" s="1"/>
  <c r="DL129" i="2"/>
  <c r="DP133" i="2"/>
  <c r="DP129" i="2"/>
  <c r="DT133" i="2"/>
  <c r="DT129" i="2"/>
  <c r="DX133" i="2"/>
  <c r="R133" i="2"/>
  <c r="R140" i="2" s="1"/>
  <c r="R129" i="2"/>
  <c r="R131" i="2" s="1"/>
  <c r="CD101" i="2"/>
  <c r="CX133" i="2"/>
  <c r="CX129" i="2"/>
  <c r="DN101" i="2"/>
  <c r="DN133" i="2" s="1"/>
  <c r="Q134" i="2"/>
  <c r="Q129" i="2"/>
  <c r="Q131" i="2" s="1"/>
  <c r="BL134" i="2"/>
  <c r="BP134" i="2"/>
  <c r="BT134" i="2"/>
  <c r="BX134" i="2"/>
  <c r="CB134" i="2"/>
  <c r="DM103" i="2"/>
  <c r="DM129" i="2" s="1"/>
  <c r="DY134" i="2"/>
  <c r="U134" i="2"/>
  <c r="U140" i="2" s="1"/>
  <c r="U129" i="2"/>
  <c r="AH105" i="2"/>
  <c r="DQ105" i="2"/>
  <c r="BS106" i="2"/>
  <c r="BS134" i="2" s="1"/>
  <c r="DM108" i="2"/>
  <c r="DE108" i="2" s="1"/>
  <c r="G109" i="2"/>
  <c r="CE110" i="2"/>
  <c r="DD110" i="2" s="1"/>
  <c r="DE113" i="2"/>
  <c r="G114" i="2"/>
  <c r="I114" i="2" s="1"/>
  <c r="EB114" i="2"/>
  <c r="DQ114" i="2"/>
  <c r="CF114" i="2"/>
  <c r="EF114" i="2" s="1"/>
  <c r="J134" i="2"/>
  <c r="J129" i="2"/>
  <c r="J131" i="2" s="1"/>
  <c r="G115" i="2"/>
  <c r="I115" i="2" s="1"/>
  <c r="DF115" i="2"/>
  <c r="CH134" i="2"/>
  <c r="CH129" i="2"/>
  <c r="AH118" i="2"/>
  <c r="AG118" i="2" s="1"/>
  <c r="BF118" i="2" s="1"/>
  <c r="BI118" i="2"/>
  <c r="BI134" i="2" s="1"/>
  <c r="DX118" i="2"/>
  <c r="DX129" i="2" s="1"/>
  <c r="CE122" i="2"/>
  <c r="DD122" i="2" s="1"/>
  <c r="BG123" i="2"/>
  <c r="DE124" i="2"/>
  <c r="AH125" i="2"/>
  <c r="K133" i="2"/>
  <c r="S134" i="2"/>
  <c r="S140" i="2" s="1"/>
  <c r="CJ97" i="2"/>
  <c r="AF133" i="2"/>
  <c r="AF140" i="2" s="1"/>
  <c r="AF129" i="2"/>
  <c r="AL129" i="2"/>
  <c r="AL133" i="2"/>
  <c r="AW133" i="2"/>
  <c r="AW140" i="2" s="1"/>
  <c r="AW129" i="2"/>
  <c r="AW131" i="2" s="1"/>
  <c r="BI133" i="2"/>
  <c r="BM129" i="2"/>
  <c r="BM133" i="2"/>
  <c r="BQ133" i="2"/>
  <c r="BQ129" i="2"/>
  <c r="BU98" i="2"/>
  <c r="BY133" i="2"/>
  <c r="CC133" i="2"/>
  <c r="CG133" i="2"/>
  <c r="CG129" i="2"/>
  <c r="DI98" i="2"/>
  <c r="DQ133" i="2"/>
  <c r="DU129" i="2"/>
  <c r="DY133" i="2"/>
  <c r="DY129" i="2"/>
  <c r="AZ133" i="2"/>
  <c r="AZ129" i="2"/>
  <c r="DO101" i="2"/>
  <c r="DO133" i="2" s="1"/>
  <c r="DW101" i="2"/>
  <c r="BQ103" i="2"/>
  <c r="BQ134" i="2" s="1"/>
  <c r="CC103" i="2"/>
  <c r="CC134" i="2" s="1"/>
  <c r="DB134" i="2"/>
  <c r="DB140" i="2" s="1"/>
  <c r="DB129" i="2"/>
  <c r="DB131" i="2" s="1"/>
  <c r="DJ134" i="2"/>
  <c r="DN134" i="2"/>
  <c r="DR134" i="2"/>
  <c r="DV134" i="2"/>
  <c r="DZ134" i="2"/>
  <c r="AC134" i="2"/>
  <c r="AC129" i="2"/>
  <c r="CA105" i="2"/>
  <c r="CA134" i="2" s="1"/>
  <c r="AT134" i="2"/>
  <c r="AT140" i="2" s="1"/>
  <c r="AT129" i="2"/>
  <c r="BG110" i="2"/>
  <c r="AR134" i="2"/>
  <c r="AR140" i="2" s="1"/>
  <c r="AR129" i="2"/>
  <c r="CE113" i="2"/>
  <c r="DD113" i="2" s="1"/>
  <c r="DG115" i="2"/>
  <c r="BH115" i="2"/>
  <c r="CE117" i="2"/>
  <c r="DD117" i="2" s="1"/>
  <c r="DF119" i="2"/>
  <c r="DE119" i="2" s="1"/>
  <c r="BH119" i="2"/>
  <c r="BG119" i="2" s="1"/>
  <c r="G119" i="2"/>
  <c r="AH122" i="2"/>
  <c r="AG122" i="2" s="1"/>
  <c r="BF122" i="2" s="1"/>
  <c r="BI122" i="2"/>
  <c r="BG122" i="2" s="1"/>
  <c r="AG124" i="2"/>
  <c r="BF124" i="2" s="1"/>
  <c r="DG128" i="2"/>
  <c r="DE128" i="2" s="1"/>
  <c r="G128" i="2"/>
  <c r="I128" i="2" s="1"/>
  <c r="BI128" i="2"/>
  <c r="BG128" i="2" s="1"/>
  <c r="AA129" i="2"/>
  <c r="AI129" i="2"/>
  <c r="CY129" i="2"/>
  <c r="DU133" i="2"/>
  <c r="AZ134" i="2"/>
  <c r="BH95" i="2"/>
  <c r="BG95" i="2" s="1"/>
  <c r="AK97" i="2"/>
  <c r="AK131" i="2" s="1"/>
  <c r="G98" i="2"/>
  <c r="BJ129" i="2"/>
  <c r="BN133" i="2"/>
  <c r="BV98" i="2"/>
  <c r="CD98" i="2"/>
  <c r="CK133" i="2"/>
  <c r="CK140" i="2" s="1"/>
  <c r="CK129" i="2"/>
  <c r="CK131" i="2" s="1"/>
  <c r="DF98" i="2"/>
  <c r="DJ98" i="2"/>
  <c r="DN129" i="2"/>
  <c r="DR133" i="2"/>
  <c r="DR129" i="2"/>
  <c r="DV129" i="2"/>
  <c r="DV133" i="2"/>
  <c r="DZ133" i="2"/>
  <c r="DZ129" i="2"/>
  <c r="BE129" i="2"/>
  <c r="BE133" i="2"/>
  <c r="DC133" i="2"/>
  <c r="V129" i="2"/>
  <c r="V131" i="2" s="1"/>
  <c r="V133" i="2"/>
  <c r="V140" i="2" s="1"/>
  <c r="BD133" i="2"/>
  <c r="BD140" i="2" s="1"/>
  <c r="BD129" i="2"/>
  <c r="BP101" i="2"/>
  <c r="BP129" i="2" s="1"/>
  <c r="BT101" i="2"/>
  <c r="BT133" i="2" s="1"/>
  <c r="K134" i="2"/>
  <c r="BJ134" i="2"/>
  <c r="BR134" i="2"/>
  <c r="BV134" i="2"/>
  <c r="DC134" i="2"/>
  <c r="DG103" i="2"/>
  <c r="DK134" i="2"/>
  <c r="DS134" i="2"/>
  <c r="EA103" i="2"/>
  <c r="EA134" i="2" s="1"/>
  <c r="G105" i="2"/>
  <c r="BB134" i="2"/>
  <c r="BB140" i="2" s="1"/>
  <c r="BB129" i="2"/>
  <c r="BB131" i="2" s="1"/>
  <c r="EB112" i="2"/>
  <c r="DE112" i="2" s="1"/>
  <c r="BG113" i="2"/>
  <c r="AO134" i="2"/>
  <c r="AO140" i="2" s="1"/>
  <c r="AO129" i="2"/>
  <c r="AO131" i="2" s="1"/>
  <c r="AH114" i="2"/>
  <c r="AG114" i="2" s="1"/>
  <c r="BF114" i="2" s="1"/>
  <c r="BN114" i="2"/>
  <c r="BG114" i="2" s="1"/>
  <c r="DW114" i="2"/>
  <c r="DW134" i="2" s="1"/>
  <c r="AA134" i="2"/>
  <c r="AA140" i="2" s="1"/>
  <c r="BA129" i="2"/>
  <c r="AH123" i="2"/>
  <c r="AG123" i="2" s="1"/>
  <c r="BF123" i="2" s="1"/>
  <c r="CE123" i="2"/>
  <c r="DD123" i="2" s="1"/>
  <c r="DG125" i="2"/>
  <c r="DE125" i="2" s="1"/>
  <c r="BG125" i="2"/>
  <c r="BG127" i="2"/>
  <c r="DE127" i="2"/>
  <c r="CE128" i="2"/>
  <c r="DD128" i="2" s="1"/>
  <c r="AX140" i="2"/>
  <c r="CH140" i="2"/>
  <c r="AI134" i="2"/>
  <c r="AI140" i="2" s="1"/>
  <c r="G121" i="2"/>
  <c r="G125" i="2"/>
  <c r="I125" i="2" s="1"/>
  <c r="DG126" i="2"/>
  <c r="DE126" i="2" s="1"/>
  <c r="Y140" i="2"/>
  <c r="AC140" i="2"/>
  <c r="AK140" i="2"/>
  <c r="AP140" i="2"/>
  <c r="BA134" i="2"/>
  <c r="BA140" i="2" s="1"/>
  <c r="CD112" i="2"/>
  <c r="BG112" i="2" s="1"/>
  <c r="BY116" i="2"/>
  <c r="BY129" i="2" s="1"/>
  <c r="BZ118" i="2"/>
  <c r="BZ134" i="2" s="1"/>
  <c r="AZ138" i="2"/>
  <c r="BI121" i="2"/>
  <c r="BG121" i="2" s="1"/>
  <c r="Q140" i="2"/>
  <c r="Z140" i="2"/>
  <c r="AD140" i="2"/>
  <c r="CO140" i="2"/>
  <c r="CS140" i="2"/>
  <c r="CW140" i="2"/>
  <c r="CX138" i="2"/>
  <c r="CF138" i="2" s="1"/>
  <c r="EF139" i="2" s="1"/>
  <c r="DW120" i="2"/>
  <c r="DW138" i="2" s="1"/>
  <c r="J140" i="2"/>
  <c r="N140" i="2"/>
  <c r="CL140" i="2"/>
  <c r="CP140" i="2"/>
  <c r="W140" i="2"/>
  <c r="AQ140" i="2"/>
  <c r="AU140" i="2"/>
  <c r="AY140" i="2"/>
  <c r="BC140" i="2"/>
  <c r="CM140" i="2"/>
  <c r="CQ140" i="2"/>
  <c r="CU140" i="2"/>
  <c r="CY140" i="2"/>
  <c r="P140" i="2"/>
  <c r="T140" i="2"/>
  <c r="X140" i="2"/>
  <c r="AB140" i="2"/>
  <c r="AN140" i="2"/>
  <c r="CR140" i="2"/>
  <c r="CV140" i="2"/>
  <c r="CZ140" i="2"/>
  <c r="M136" i="1"/>
  <c r="G12" i="1"/>
  <c r="EB14" i="1"/>
  <c r="G14" i="1"/>
  <c r="BG16" i="1"/>
  <c r="BG19" i="1"/>
  <c r="CF23" i="1"/>
  <c r="DG23" i="1"/>
  <c r="O131" i="1"/>
  <c r="AH38" i="1"/>
  <c r="EB48" i="1"/>
  <c r="G48" i="1"/>
  <c r="CD48" i="1"/>
  <c r="DM49" i="1"/>
  <c r="BO49" i="1"/>
  <c r="DW84" i="1"/>
  <c r="G84" i="1"/>
  <c r="I84" i="1" s="1"/>
  <c r="CE86" i="1"/>
  <c r="DD86" i="1" s="1"/>
  <c r="DY86" i="1"/>
  <c r="DI106" i="1"/>
  <c r="G106" i="1"/>
  <c r="BK106" i="1"/>
  <c r="DG118" i="1"/>
  <c r="DM42" i="1"/>
  <c r="G42" i="1"/>
  <c r="CB24" i="1"/>
  <c r="AA138" i="1"/>
  <c r="BY6" i="1"/>
  <c r="BO24" i="1"/>
  <c r="BW24" i="1"/>
  <c r="G11" i="1"/>
  <c r="DG11" i="1"/>
  <c r="AG12" i="1"/>
  <c r="BF12" i="1" s="1"/>
  <c r="BL136" i="1"/>
  <c r="BP136" i="1"/>
  <c r="CB136" i="1"/>
  <c r="DF136" i="1"/>
  <c r="DK136" i="1"/>
  <c r="DO136" i="1"/>
  <c r="DS136" i="1"/>
  <c r="DW136" i="1"/>
  <c r="EA136" i="1"/>
  <c r="AF136" i="1"/>
  <c r="CH136" i="1"/>
  <c r="AH14" i="1"/>
  <c r="AG14" i="1" s="1"/>
  <c r="BF14" i="1" s="1"/>
  <c r="BX14" i="1"/>
  <c r="K136" i="1"/>
  <c r="BI15" i="1"/>
  <c r="G15" i="1"/>
  <c r="AB138" i="1"/>
  <c r="G17" i="1"/>
  <c r="I17" i="1" s="1"/>
  <c r="BI23" i="1"/>
  <c r="AH23" i="1"/>
  <c r="AG23" i="1" s="1"/>
  <c r="BF23" i="1" s="1"/>
  <c r="BE137" i="1"/>
  <c r="CY137" i="1"/>
  <c r="BG30" i="1"/>
  <c r="CE31" i="1"/>
  <c r="DD31" i="1" s="1"/>
  <c r="CD40" i="1"/>
  <c r="DW60" i="1"/>
  <c r="BY60" i="1"/>
  <c r="BI73" i="1"/>
  <c r="AH73" i="1"/>
  <c r="CQ50" i="1"/>
  <c r="DP25" i="1"/>
  <c r="BO31" i="1"/>
  <c r="BG31" i="1" s="1"/>
  <c r="AH31" i="1"/>
  <c r="AG31" i="1" s="1"/>
  <c r="BF31" i="1" s="1"/>
  <c r="BO29" i="1"/>
  <c r="BZ32" i="1"/>
  <c r="BG32" i="1" s="1"/>
  <c r="AH32" i="1"/>
  <c r="AJ138" i="1"/>
  <c r="BI6" i="1"/>
  <c r="BM138" i="1"/>
  <c r="BQ138" i="1"/>
  <c r="BU138" i="1"/>
  <c r="AH10" i="1"/>
  <c r="AG10" i="1" s="1"/>
  <c r="BF10" i="1" s="1"/>
  <c r="CE10" i="1"/>
  <c r="DD10" i="1" s="1"/>
  <c r="BN136" i="1"/>
  <c r="BR136" i="1"/>
  <c r="BZ136" i="1"/>
  <c r="DH136" i="1"/>
  <c r="DM136" i="1"/>
  <c r="DU136" i="1"/>
  <c r="DY136" i="1"/>
  <c r="CF14" i="1"/>
  <c r="CE14" i="1" s="1"/>
  <c r="DD14" i="1" s="1"/>
  <c r="DV14" i="1"/>
  <c r="BZ17" i="1"/>
  <c r="BX21" i="1"/>
  <c r="BG21" i="1" s="1"/>
  <c r="G22" i="1"/>
  <c r="I22" i="1" s="1"/>
  <c r="CH137" i="1"/>
  <c r="CF26" i="1"/>
  <c r="CE26" i="1" s="1"/>
  <c r="DD26" i="1" s="1"/>
  <c r="AF137" i="1"/>
  <c r="CN29" i="1"/>
  <c r="CF29" i="1" s="1"/>
  <c r="CE30" i="1"/>
  <c r="DD30" i="1" s="1"/>
  <c r="BG34" i="1"/>
  <c r="CD35" i="1"/>
  <c r="DW122" i="1"/>
  <c r="CF122" i="1"/>
  <c r="Y137" i="1"/>
  <c r="G46" i="1"/>
  <c r="BY55" i="1"/>
  <c r="BI107" i="1"/>
  <c r="DG107" i="1"/>
  <c r="I110" i="1"/>
  <c r="CE110" i="1"/>
  <c r="DD110" i="1" s="1"/>
  <c r="BO34" i="1"/>
  <c r="CX137" i="1"/>
  <c r="CV46" i="1"/>
  <c r="BE77" i="1"/>
  <c r="DW54" i="1"/>
  <c r="BY54" i="1"/>
  <c r="AH55" i="1"/>
  <c r="AY24" i="1"/>
  <c r="CA24" i="1"/>
  <c r="DJ138" i="1"/>
  <c r="DN138" i="1"/>
  <c r="DR138" i="1"/>
  <c r="DZ138" i="1"/>
  <c r="CF8" i="1"/>
  <c r="EB9" i="1"/>
  <c r="BK10" i="1"/>
  <c r="BK138" i="1" s="1"/>
  <c r="CC11" i="1"/>
  <c r="EA11" i="1"/>
  <c r="DE11" i="1" s="1"/>
  <c r="BJ136" i="1"/>
  <c r="BO136" i="1"/>
  <c r="BW136" i="1"/>
  <c r="CA136" i="1"/>
  <c r="DJ136" i="1"/>
  <c r="DN136" i="1"/>
  <c r="DR136" i="1"/>
  <c r="DZ136" i="1"/>
  <c r="DE16" i="1"/>
  <c r="BA138" i="1"/>
  <c r="DE21" i="1"/>
  <c r="BS23" i="1"/>
  <c r="BG23" i="1" s="1"/>
  <c r="P131" i="1"/>
  <c r="AS137" i="1"/>
  <c r="DR50" i="1"/>
  <c r="BQ27" i="1"/>
  <c r="AH29" i="1"/>
  <c r="DE31" i="1"/>
  <c r="EB34" i="1"/>
  <c r="DC35" i="1"/>
  <c r="AH37" i="1"/>
  <c r="EB37" i="1"/>
  <c r="DO38" i="1"/>
  <c r="BO39" i="1"/>
  <c r="G40" i="1"/>
  <c r="BO45" i="1"/>
  <c r="AH45" i="1"/>
  <c r="BI46" i="1"/>
  <c r="AH46" i="1"/>
  <c r="CF49" i="1"/>
  <c r="DO77" i="1"/>
  <c r="DS77" i="1"/>
  <c r="DG52" i="1"/>
  <c r="AH63" i="1"/>
  <c r="DG67" i="1"/>
  <c r="G67" i="1"/>
  <c r="I67" i="1" s="1"/>
  <c r="BI67" i="1"/>
  <c r="DW71" i="1"/>
  <c r="G101" i="1"/>
  <c r="CF113" i="1"/>
  <c r="EB113" i="1"/>
  <c r="BH119" i="1"/>
  <c r="BY123" i="1"/>
  <c r="BZ126" i="1"/>
  <c r="EB128" i="1"/>
  <c r="CD128" i="1"/>
  <c r="BG128" i="1" s="1"/>
  <c r="AF24" i="1"/>
  <c r="BH24" i="1"/>
  <c r="BL24" i="1"/>
  <c r="BP24" i="1"/>
  <c r="BT24" i="1"/>
  <c r="BG7" i="1"/>
  <c r="AH9" i="1"/>
  <c r="BH136" i="1"/>
  <c r="BM136" i="1"/>
  <c r="BQ136" i="1"/>
  <c r="BU136" i="1"/>
  <c r="BY136" i="1"/>
  <c r="CC136" i="1"/>
  <c r="DL136" i="1"/>
  <c r="DP136" i="1"/>
  <c r="DT136" i="1"/>
  <c r="DX136" i="1"/>
  <c r="EB17" i="1"/>
  <c r="DE19" i="1"/>
  <c r="BI22" i="1"/>
  <c r="BG22" i="1" s="1"/>
  <c r="EB22" i="1"/>
  <c r="DE22" i="1" s="1"/>
  <c r="N131" i="1"/>
  <c r="BH50" i="1"/>
  <c r="BL50" i="1"/>
  <c r="DT25" i="1"/>
  <c r="AJ137" i="1"/>
  <c r="DN27" i="1"/>
  <c r="AH27" i="1"/>
  <c r="BA137" i="1"/>
  <c r="DM33" i="1"/>
  <c r="BO33" i="1"/>
  <c r="BG33" i="1" s="1"/>
  <c r="G34" i="1"/>
  <c r="I34" i="1" s="1"/>
  <c r="AH35" i="1"/>
  <c r="CF36" i="1"/>
  <c r="CN38" i="1"/>
  <c r="CF38" i="1" s="1"/>
  <c r="AH39" i="1"/>
  <c r="AH40" i="1"/>
  <c r="DQ44" i="1"/>
  <c r="DG47" i="1"/>
  <c r="CF47" i="1"/>
  <c r="BO48" i="1"/>
  <c r="BG48" i="1" s="1"/>
  <c r="AH48" i="1"/>
  <c r="AG48" i="1" s="1"/>
  <c r="BF48" i="1" s="1"/>
  <c r="DZ77" i="1"/>
  <c r="EB52" i="1"/>
  <c r="CD52" i="1"/>
  <c r="BI66" i="1"/>
  <c r="BG66" i="1" s="1"/>
  <c r="AH66" i="1"/>
  <c r="DG66" i="1"/>
  <c r="CV66" i="1"/>
  <c r="CV139" i="1" s="1"/>
  <c r="DW83" i="1"/>
  <c r="BY83" i="1"/>
  <c r="BG99" i="1"/>
  <c r="DO113" i="1"/>
  <c r="DE113" i="1" s="1"/>
  <c r="G113" i="1"/>
  <c r="BY58" i="1"/>
  <c r="AH60" i="1"/>
  <c r="BI60" i="1"/>
  <c r="BI68" i="1"/>
  <c r="BG68" i="1" s="1"/>
  <c r="DW68" i="1"/>
  <c r="AH69" i="1"/>
  <c r="AH71" i="1"/>
  <c r="CD71" i="1"/>
  <c r="BI72" i="1"/>
  <c r="DW72" i="1"/>
  <c r="G79" i="1"/>
  <c r="I79" i="1" s="1"/>
  <c r="BG80" i="1"/>
  <c r="G83" i="1"/>
  <c r="I83" i="1" s="1"/>
  <c r="AH83" i="1"/>
  <c r="AG83" i="1" s="1"/>
  <c r="BF83" i="1" s="1"/>
  <c r="AH86" i="1"/>
  <c r="AH88" i="1"/>
  <c r="CW90" i="1"/>
  <c r="AH91" i="1"/>
  <c r="DF93" i="1"/>
  <c r="BI95" i="1"/>
  <c r="BK98" i="1"/>
  <c r="BR98" i="1"/>
  <c r="DI98" i="1"/>
  <c r="AH101" i="1"/>
  <c r="DH134" i="1"/>
  <c r="G104" i="1"/>
  <c r="BK104" i="1"/>
  <c r="BS106" i="1"/>
  <c r="EB107" i="1"/>
  <c r="DI108" i="1"/>
  <c r="CE109" i="1"/>
  <c r="DD109" i="1" s="1"/>
  <c r="AH113" i="1"/>
  <c r="AG113" i="1" s="1"/>
  <c r="BF113" i="1" s="1"/>
  <c r="CX134" i="1"/>
  <c r="CX138" i="1"/>
  <c r="DW123" i="1"/>
  <c r="G128" i="1"/>
  <c r="AG128" i="1"/>
  <c r="BF128" i="1" s="1"/>
  <c r="O140" i="1"/>
  <c r="AH47" i="1"/>
  <c r="DG49" i="1"/>
  <c r="AH49" i="1"/>
  <c r="CH77" i="1"/>
  <c r="BY52" i="1"/>
  <c r="DG54" i="1"/>
  <c r="AH54" i="1"/>
  <c r="BA77" i="1"/>
  <c r="BZ56" i="1"/>
  <c r="AH58" i="1"/>
  <c r="AG58" i="1" s="1"/>
  <c r="BF58" i="1" s="1"/>
  <c r="CF58" i="1"/>
  <c r="DG59" i="1"/>
  <c r="DE59" i="1" s="1"/>
  <c r="BY61" i="1"/>
  <c r="BG61" i="1" s="1"/>
  <c r="CF62" i="1"/>
  <c r="AH67" i="1"/>
  <c r="CF71" i="1"/>
  <c r="DE74" i="1"/>
  <c r="DG76" i="1"/>
  <c r="DE76" i="1" s="1"/>
  <c r="DE79" i="1"/>
  <c r="DE80" i="1"/>
  <c r="AY135" i="1"/>
  <c r="CF83" i="1"/>
  <c r="DE84" i="1"/>
  <c r="BE135" i="1"/>
  <c r="EB95" i="1"/>
  <c r="BH96" i="1"/>
  <c r="AL134" i="1"/>
  <c r="BJ134" i="1"/>
  <c r="BU134" i="1"/>
  <c r="DJ134" i="1"/>
  <c r="DP134" i="1"/>
  <c r="G105" i="1"/>
  <c r="I105" i="1" s="1"/>
  <c r="BS105" i="1"/>
  <c r="AH107" i="1"/>
  <c r="EB109" i="1"/>
  <c r="DF119" i="1"/>
  <c r="DE119" i="1" s="1"/>
  <c r="P140" i="1"/>
  <c r="W140" i="1"/>
  <c r="W141" i="1" s="1"/>
  <c r="EB47" i="1"/>
  <c r="CF48" i="1"/>
  <c r="BQ77" i="1"/>
  <c r="BU77" i="1"/>
  <c r="EA77" i="1"/>
  <c r="AH52" i="1"/>
  <c r="DW52" i="1"/>
  <c r="DE52" i="1" s="1"/>
  <c r="G54" i="1"/>
  <c r="BI54" i="1"/>
  <c r="CF55" i="1"/>
  <c r="BY56" i="1"/>
  <c r="CF56" i="1"/>
  <c r="DG58" i="1"/>
  <c r="DW58" i="1"/>
  <c r="BZ60" i="1"/>
  <c r="CF61" i="1"/>
  <c r="DE64" i="1"/>
  <c r="CE65" i="1"/>
  <c r="DD65" i="1" s="1"/>
  <c r="EB67" i="1"/>
  <c r="DG70" i="1"/>
  <c r="DE75" i="1"/>
  <c r="G76" i="1"/>
  <c r="CE80" i="1"/>
  <c r="DD80" i="1" s="1"/>
  <c r="BG81" i="1"/>
  <c r="DE81" i="1"/>
  <c r="BH83" i="1"/>
  <c r="AG84" i="1"/>
  <c r="BF84" i="1" s="1"/>
  <c r="DC135" i="1"/>
  <c r="DE86" i="1"/>
  <c r="AH87" i="1"/>
  <c r="BY88" i="1"/>
  <c r="CD90" i="1"/>
  <c r="BY91" i="1"/>
  <c r="CF91" i="1"/>
  <c r="DW93" i="1"/>
  <c r="CH95" i="1"/>
  <c r="BE134" i="1"/>
  <c r="BM134" i="1"/>
  <c r="DL134" i="1"/>
  <c r="DR134" i="1"/>
  <c r="DV134" i="1"/>
  <c r="DZ134" i="1"/>
  <c r="CD105" i="1"/>
  <c r="CJ134" i="1"/>
  <c r="CD107" i="1"/>
  <c r="EB111" i="1"/>
  <c r="DE111" i="1" s="1"/>
  <c r="AH114" i="1"/>
  <c r="CD115" i="1"/>
  <c r="CF119" i="1"/>
  <c r="AH120" i="1"/>
  <c r="CF123" i="1"/>
  <c r="AH125" i="1"/>
  <c r="T140" i="1"/>
  <c r="T141" i="1" s="1"/>
  <c r="CS140" i="1"/>
  <c r="CS141" i="1" s="1"/>
  <c r="CE8" i="1"/>
  <c r="DD8" i="1" s="1"/>
  <c r="BG17" i="1"/>
  <c r="DE14" i="1"/>
  <c r="DE9" i="1"/>
  <c r="I11" i="1"/>
  <c r="CF15" i="1"/>
  <c r="DV15" i="1"/>
  <c r="CE23" i="1"/>
  <c r="DD23" i="1" s="1"/>
  <c r="K138" i="1"/>
  <c r="BR138" i="1"/>
  <c r="DC138" i="1"/>
  <c r="DC24" i="1"/>
  <c r="DO138" i="1"/>
  <c r="DO24" i="1"/>
  <c r="EA138" i="1"/>
  <c r="EA24" i="1"/>
  <c r="CD9" i="1"/>
  <c r="BG9" i="1" s="1"/>
  <c r="BI11" i="1"/>
  <c r="G13" i="1"/>
  <c r="CD13" i="1"/>
  <c r="EB13" i="1"/>
  <c r="EB136" i="1" s="1"/>
  <c r="AH15" i="1"/>
  <c r="CD15" i="1"/>
  <c r="BG15" i="1" s="1"/>
  <c r="CE16" i="1"/>
  <c r="DD16" i="1" s="1"/>
  <c r="AG20" i="1"/>
  <c r="BF20" i="1" s="1"/>
  <c r="CF22" i="1"/>
  <c r="I23" i="1"/>
  <c r="K24" i="1"/>
  <c r="AA24" i="1"/>
  <c r="AE24" i="1"/>
  <c r="DF24" i="1"/>
  <c r="DN24" i="1"/>
  <c r="AQ137" i="1"/>
  <c r="AH25" i="1"/>
  <c r="AQ50" i="1"/>
  <c r="AQ131" i="1" s="1"/>
  <c r="BJ137" i="1"/>
  <c r="BJ50" i="1"/>
  <c r="BN137" i="1"/>
  <c r="BN50" i="1"/>
  <c r="BT50" i="1"/>
  <c r="BX50" i="1"/>
  <c r="DY50" i="1"/>
  <c r="BV27" i="1"/>
  <c r="DT27" i="1"/>
  <c r="CN27" i="1"/>
  <c r="DC50" i="1"/>
  <c r="BP29" i="1"/>
  <c r="G29" i="1"/>
  <c r="DN29" i="1"/>
  <c r="DE33" i="1"/>
  <c r="AG40" i="1"/>
  <c r="BF40" i="1" s="1"/>
  <c r="DE41" i="1"/>
  <c r="AH6" i="1"/>
  <c r="BN138" i="1"/>
  <c r="BZ138" i="1"/>
  <c r="DG6" i="1"/>
  <c r="DS138" i="1"/>
  <c r="DS24" i="1"/>
  <c r="CW138" i="1"/>
  <c r="BO138" i="1"/>
  <c r="BW138" i="1"/>
  <c r="CA138" i="1"/>
  <c r="DH138" i="1"/>
  <c r="DH24" i="1"/>
  <c r="DL138" i="1"/>
  <c r="DL24" i="1"/>
  <c r="DP138" i="1"/>
  <c r="DP24" i="1"/>
  <c r="DT138" i="1"/>
  <c r="DT24" i="1"/>
  <c r="EB6" i="1"/>
  <c r="G7" i="1"/>
  <c r="DG7" i="1"/>
  <c r="DE7" i="1" s="1"/>
  <c r="AH8" i="1"/>
  <c r="G9" i="1"/>
  <c r="I12" i="1"/>
  <c r="DI12" i="1"/>
  <c r="DI136" i="1" s="1"/>
  <c r="BK13" i="1"/>
  <c r="BS13" i="1"/>
  <c r="DQ13" i="1"/>
  <c r="I14" i="1"/>
  <c r="DG15" i="1"/>
  <c r="DE15" i="1" s="1"/>
  <c r="CF17" i="1"/>
  <c r="DX17" i="1"/>
  <c r="DX24" i="1" s="1"/>
  <c r="G18" i="1"/>
  <c r="DQ23" i="1"/>
  <c r="DQ138" i="1" s="1"/>
  <c r="X131" i="1"/>
  <c r="AB24" i="1"/>
  <c r="AJ24" i="1"/>
  <c r="CJ24" i="1"/>
  <c r="CR24" i="1"/>
  <c r="X137" i="1"/>
  <c r="X50" i="1"/>
  <c r="AR137" i="1"/>
  <c r="AR50" i="1"/>
  <c r="BK137" i="1"/>
  <c r="BK50" i="1"/>
  <c r="CO137" i="1"/>
  <c r="CF25" i="1"/>
  <c r="CO50" i="1"/>
  <c r="DH137" i="1"/>
  <c r="DH50" i="1"/>
  <c r="DL137" i="1"/>
  <c r="DL50" i="1"/>
  <c r="BO27" i="1"/>
  <c r="DE28" i="1"/>
  <c r="BG35" i="1"/>
  <c r="AG42" i="1"/>
  <c r="BF42" i="1" s="1"/>
  <c r="DA137" i="1"/>
  <c r="DZ43" i="1"/>
  <c r="DZ50" i="1" s="1"/>
  <c r="DA50" i="1"/>
  <c r="DA131" i="1" s="1"/>
  <c r="DE47" i="1"/>
  <c r="CE48" i="1"/>
  <c r="DD48" i="1" s="1"/>
  <c r="I54" i="1"/>
  <c r="BJ138" i="1"/>
  <c r="BV138" i="1"/>
  <c r="CD6" i="1"/>
  <c r="DK138" i="1"/>
  <c r="DK24" i="1"/>
  <c r="DW24" i="1"/>
  <c r="DG8" i="1"/>
  <c r="DE8" i="1" s="1"/>
  <c r="G6" i="1"/>
  <c r="AF138" i="1"/>
  <c r="AY138" i="1"/>
  <c r="BH138" i="1"/>
  <c r="BL138" i="1"/>
  <c r="BP138" i="1"/>
  <c r="BT138" i="1"/>
  <c r="BX6" i="1"/>
  <c r="CB138" i="1"/>
  <c r="CF6" i="1"/>
  <c r="DI138" i="1"/>
  <c r="DM138" i="1"/>
  <c r="DU138" i="1"/>
  <c r="DY138" i="1"/>
  <c r="CF9" i="1"/>
  <c r="BD138" i="1"/>
  <c r="CC10" i="1"/>
  <c r="AG11" i="1"/>
  <c r="BF11" i="1" s="1"/>
  <c r="CE11" i="1"/>
  <c r="DD11" i="1" s="1"/>
  <c r="BK12" i="1"/>
  <c r="BK136" i="1" s="1"/>
  <c r="BS136" i="1"/>
  <c r="CE12" i="1"/>
  <c r="DD12" i="1" s="1"/>
  <c r="AH13" i="1"/>
  <c r="AH136" i="1" s="1"/>
  <c r="BX13" i="1"/>
  <c r="BX136" i="1" s="1"/>
  <c r="CF13" i="1"/>
  <c r="CW136" i="1"/>
  <c r="CF136" i="1" s="1"/>
  <c r="DV13" i="1"/>
  <c r="DV24" i="1" s="1"/>
  <c r="CD14" i="1"/>
  <c r="AG22" i="1"/>
  <c r="BF22" i="1" s="1"/>
  <c r="M24" i="1"/>
  <c r="U24" i="1"/>
  <c r="BA24" i="1"/>
  <c r="BE24" i="1"/>
  <c r="BM24" i="1"/>
  <c r="BQ24" i="1"/>
  <c r="BU24" i="1"/>
  <c r="BY24" i="1"/>
  <c r="CO131" i="1"/>
  <c r="CW24" i="1"/>
  <c r="DJ24" i="1"/>
  <c r="DR24" i="1"/>
  <c r="DZ24" i="1"/>
  <c r="Q137" i="1"/>
  <c r="Q50" i="1"/>
  <c r="G25" i="1"/>
  <c r="BR137" i="1"/>
  <c r="BR50" i="1"/>
  <c r="BV137" i="1"/>
  <c r="BV50" i="1"/>
  <c r="CP137" i="1"/>
  <c r="CP50" i="1"/>
  <c r="DI137" i="1"/>
  <c r="DI50" i="1"/>
  <c r="DM25" i="1"/>
  <c r="AG26" i="1"/>
  <c r="BF26" i="1" s="1"/>
  <c r="AG29" i="1"/>
  <c r="BF29" i="1" s="1"/>
  <c r="BG39" i="1"/>
  <c r="I40" i="1"/>
  <c r="CV137" i="1"/>
  <c r="CF46" i="1"/>
  <c r="CV50" i="1"/>
  <c r="DV138" i="1"/>
  <c r="BI13" i="1"/>
  <c r="DG13" i="1"/>
  <c r="DE13" i="1" s="1"/>
  <c r="I15" i="1"/>
  <c r="I16" i="1"/>
  <c r="AH17" i="1"/>
  <c r="CY138" i="1"/>
  <c r="CY24" i="1"/>
  <c r="BS18" i="1"/>
  <c r="BG18" i="1" s="1"/>
  <c r="I20" i="1"/>
  <c r="AL24" i="1"/>
  <c r="AT24" i="1"/>
  <c r="BJ24" i="1"/>
  <c r="BN24" i="1"/>
  <c r="BR24" i="1"/>
  <c r="BV24" i="1"/>
  <c r="BZ24" i="1"/>
  <c r="CH24" i="1"/>
  <c r="CP131" i="1"/>
  <c r="DM24" i="1"/>
  <c r="DU24" i="1"/>
  <c r="CA137" i="1"/>
  <c r="CA50" i="1"/>
  <c r="DP137" i="1"/>
  <c r="DP50" i="1"/>
  <c r="DT137" i="1"/>
  <c r="DT50" i="1"/>
  <c r="DE34" i="1"/>
  <c r="EB35" i="1"/>
  <c r="I37" i="1"/>
  <c r="AG41" i="1"/>
  <c r="BF41" i="1" s="1"/>
  <c r="DE42" i="1"/>
  <c r="DE44" i="1"/>
  <c r="AP137" i="1"/>
  <c r="AW137" i="1"/>
  <c r="BM137" i="1"/>
  <c r="BQ25" i="1"/>
  <c r="BU137" i="1"/>
  <c r="CC137" i="1"/>
  <c r="DK137" i="1"/>
  <c r="DO25" i="1"/>
  <c r="DS137" i="1"/>
  <c r="EA137" i="1"/>
  <c r="G27" i="1"/>
  <c r="AG27" i="1" s="1"/>
  <c r="BF27" i="1" s="1"/>
  <c r="EB27" i="1"/>
  <c r="G28" i="1"/>
  <c r="BZ29" i="1"/>
  <c r="CF35" i="1"/>
  <c r="G36" i="1"/>
  <c r="AG36" i="1" s="1"/>
  <c r="BF36" i="1" s="1"/>
  <c r="G37" i="1"/>
  <c r="CN37" i="1"/>
  <c r="CF37" i="1" s="1"/>
  <c r="BQ38" i="1"/>
  <c r="DM38" i="1"/>
  <c r="DE38" i="1" s="1"/>
  <c r="CF39" i="1"/>
  <c r="DM39" i="1"/>
  <c r="DE39" i="1" s="1"/>
  <c r="BO40" i="1"/>
  <c r="BG40" i="1" s="1"/>
  <c r="CE40" i="1"/>
  <c r="DD40" i="1" s="1"/>
  <c r="CF41" i="1"/>
  <c r="I42" i="1"/>
  <c r="BO42" i="1"/>
  <c r="BG42" i="1" s="1"/>
  <c r="G43" i="1"/>
  <c r="CB43" i="1"/>
  <c r="BG43" i="1" s="1"/>
  <c r="CF43" i="1"/>
  <c r="DG43" i="1"/>
  <c r="U137" i="1"/>
  <c r="G45" i="1"/>
  <c r="CE45" i="1" s="1"/>
  <c r="DD45" i="1" s="1"/>
  <c r="AG45" i="1"/>
  <c r="BF45" i="1" s="1"/>
  <c r="BS45" i="1"/>
  <c r="BS137" i="1" s="1"/>
  <c r="I46" i="1"/>
  <c r="DG46" i="1"/>
  <c r="BY47" i="1"/>
  <c r="I48" i="1"/>
  <c r="DW48" i="1"/>
  <c r="DE48" i="1" s="1"/>
  <c r="EB49" i="1"/>
  <c r="S50" i="1"/>
  <c r="AA50" i="1"/>
  <c r="BC50" i="1"/>
  <c r="BC131" i="1" s="1"/>
  <c r="CU50" i="1"/>
  <c r="CU131" i="1" s="1"/>
  <c r="CY50" i="1"/>
  <c r="AF77" i="1"/>
  <c r="BL139" i="1"/>
  <c r="BL77" i="1"/>
  <c r="BP139" i="1"/>
  <c r="BP77" i="1"/>
  <c r="BT139" i="1"/>
  <c r="BT77" i="1"/>
  <c r="BX139" i="1"/>
  <c r="BX77" i="1"/>
  <c r="CC77" i="1"/>
  <c r="DY139" i="1"/>
  <c r="DY77" i="1"/>
  <c r="CE54" i="1"/>
  <c r="DD54" i="1" s="1"/>
  <c r="EB55" i="1"/>
  <c r="G55" i="1"/>
  <c r="AG55" i="1" s="1"/>
  <c r="BF55" i="1" s="1"/>
  <c r="CD55" i="1"/>
  <c r="DW56" i="1"/>
  <c r="G57" i="1"/>
  <c r="DG57" i="1"/>
  <c r="DE57" i="1" s="1"/>
  <c r="BI57" i="1"/>
  <c r="BG57" i="1" s="1"/>
  <c r="CE58" i="1"/>
  <c r="DD58" i="1" s="1"/>
  <c r="G63" i="1"/>
  <c r="AG63" i="1" s="1"/>
  <c r="BF63" i="1" s="1"/>
  <c r="DG63" i="1"/>
  <c r="BI63" i="1"/>
  <c r="I65" i="1"/>
  <c r="I70" i="1"/>
  <c r="AG32" i="1"/>
  <c r="BF32" i="1" s="1"/>
  <c r="G33" i="1"/>
  <c r="CF34" i="1"/>
  <c r="G35" i="1"/>
  <c r="AG35" i="1" s="1"/>
  <c r="BF35" i="1" s="1"/>
  <c r="DM35" i="1"/>
  <c r="DE35" i="1" s="1"/>
  <c r="BY36" i="1"/>
  <c r="DM36" i="1"/>
  <c r="CD38" i="1"/>
  <c r="DM40" i="1"/>
  <c r="DE40" i="1" s="1"/>
  <c r="CF42" i="1"/>
  <c r="AH43" i="1"/>
  <c r="EB43" i="1"/>
  <c r="G44" i="1"/>
  <c r="BO44" i="1"/>
  <c r="BG44" i="1" s="1"/>
  <c r="G47" i="1"/>
  <c r="CE47" i="1" s="1"/>
  <c r="DD47" i="1" s="1"/>
  <c r="CD47" i="1"/>
  <c r="G49" i="1"/>
  <c r="AG49" i="1" s="1"/>
  <c r="BF49" i="1" s="1"/>
  <c r="BI49" i="1"/>
  <c r="BG49" i="1" s="1"/>
  <c r="DQ49" i="1"/>
  <c r="DQ137" i="1" s="1"/>
  <c r="H50" i="1"/>
  <c r="H131" i="1" s="1"/>
  <c r="AF50" i="1"/>
  <c r="AJ50" i="1"/>
  <c r="AZ50" i="1"/>
  <c r="CN50" i="1"/>
  <c r="CN131" i="1" s="1"/>
  <c r="DS50" i="1"/>
  <c r="BH139" i="1"/>
  <c r="BH77" i="1"/>
  <c r="DI139" i="1"/>
  <c r="DI77" i="1"/>
  <c r="DM139" i="1"/>
  <c r="DM77" i="1"/>
  <c r="DQ139" i="1"/>
  <c r="DQ77" i="1"/>
  <c r="AG54" i="1"/>
  <c r="BF54" i="1" s="1"/>
  <c r="CY139" i="1"/>
  <c r="DX55" i="1"/>
  <c r="CY77" i="1"/>
  <c r="DX62" i="1"/>
  <c r="BZ62" i="1"/>
  <c r="DE67" i="1"/>
  <c r="CF69" i="1"/>
  <c r="DG69" i="1"/>
  <c r="AG70" i="1"/>
  <c r="BF70" i="1" s="1"/>
  <c r="DE73" i="1"/>
  <c r="DY137" i="1"/>
  <c r="BI26" i="1"/>
  <c r="CE32" i="1"/>
  <c r="DD32" i="1" s="1"/>
  <c r="BO37" i="1"/>
  <c r="BG37" i="1" s="1"/>
  <c r="G38" i="1"/>
  <c r="AG38" i="1" s="1"/>
  <c r="BF38" i="1" s="1"/>
  <c r="BZ41" i="1"/>
  <c r="BG41" i="1" s="1"/>
  <c r="AH44" i="1"/>
  <c r="CF44" i="1"/>
  <c r="K137" i="1"/>
  <c r="BI45" i="1"/>
  <c r="DG45" i="1"/>
  <c r="DE45" i="1" s="1"/>
  <c r="AG46" i="1"/>
  <c r="BF46" i="1" s="1"/>
  <c r="BW46" i="1"/>
  <c r="BW50" i="1" s="1"/>
  <c r="DU46" i="1"/>
  <c r="DU137" i="1" s="1"/>
  <c r="U50" i="1"/>
  <c r="Y50" i="1"/>
  <c r="AS50" i="1"/>
  <c r="AW50" i="1"/>
  <c r="BA50" i="1"/>
  <c r="BE50" i="1"/>
  <c r="BI50" i="1"/>
  <c r="BM50" i="1"/>
  <c r="BU50" i="1"/>
  <c r="CC50" i="1"/>
  <c r="DU50" i="1"/>
  <c r="EA50" i="1"/>
  <c r="AJ139" i="1"/>
  <c r="AJ77" i="1"/>
  <c r="AH51" i="1"/>
  <c r="BJ139" i="1"/>
  <c r="BJ77" i="1"/>
  <c r="BN139" i="1"/>
  <c r="BN77" i="1"/>
  <c r="BR139" i="1"/>
  <c r="BR77" i="1"/>
  <c r="BV139" i="1"/>
  <c r="BV77" i="1"/>
  <c r="DF77" i="1"/>
  <c r="DJ77" i="1"/>
  <c r="DN77" i="1"/>
  <c r="DR77" i="1"/>
  <c r="DV77" i="1"/>
  <c r="CX139" i="1"/>
  <c r="CF52" i="1"/>
  <c r="CX77" i="1"/>
  <c r="G53" i="1"/>
  <c r="BG58" i="1"/>
  <c r="BG60" i="1"/>
  <c r="G62" i="1"/>
  <c r="BG72" i="1"/>
  <c r="BG76" i="1"/>
  <c r="CQ131" i="1"/>
  <c r="R137" i="1"/>
  <c r="BH137" i="1"/>
  <c r="BL137" i="1"/>
  <c r="BP25" i="1"/>
  <c r="BT137" i="1"/>
  <c r="BX137" i="1"/>
  <c r="CB137" i="1"/>
  <c r="CQ137" i="1"/>
  <c r="DF137" i="1"/>
  <c r="DJ137" i="1"/>
  <c r="DN25" i="1"/>
  <c r="DR137" i="1"/>
  <c r="DV137" i="1"/>
  <c r="DZ137" i="1"/>
  <c r="DG26" i="1"/>
  <c r="DE26" i="1" s="1"/>
  <c r="CD27" i="1"/>
  <c r="CD137" i="1" s="1"/>
  <c r="DC137" i="1"/>
  <c r="BO28" i="1"/>
  <c r="BG28" i="1" s="1"/>
  <c r="DX29" i="1"/>
  <c r="DX50" i="1" s="1"/>
  <c r="AH34" i="1"/>
  <c r="DW36" i="1"/>
  <c r="DW50" i="1" s="1"/>
  <c r="G39" i="1"/>
  <c r="AG39" i="1" s="1"/>
  <c r="BF39" i="1" s="1"/>
  <c r="R50" i="1"/>
  <c r="AD50" i="1"/>
  <c r="AD131" i="1" s="1"/>
  <c r="AP50" i="1"/>
  <c r="AP131" i="1" s="1"/>
  <c r="AT50" i="1"/>
  <c r="CH50" i="1"/>
  <c r="CX50" i="1"/>
  <c r="DF50" i="1"/>
  <c r="DK50" i="1"/>
  <c r="DV50" i="1"/>
  <c r="AA139" i="1"/>
  <c r="AA77" i="1"/>
  <c r="DW51" i="1"/>
  <c r="BY51" i="1"/>
  <c r="G51" i="1"/>
  <c r="CE51" i="1" s="1"/>
  <c r="DD51" i="1" s="1"/>
  <c r="CB139" i="1"/>
  <c r="CB77" i="1"/>
  <c r="DW53" i="1"/>
  <c r="BY53" i="1"/>
  <c r="EB54" i="1"/>
  <c r="DE54" i="1" s="1"/>
  <c r="CD54" i="1"/>
  <c r="BG54" i="1" s="1"/>
  <c r="G56" i="1"/>
  <c r="DG56" i="1"/>
  <c r="DE56" i="1" s="1"/>
  <c r="BI56" i="1"/>
  <c r="BG56" i="1" s="1"/>
  <c r="I58" i="1"/>
  <c r="DG60" i="1"/>
  <c r="CF60" i="1"/>
  <c r="AG61" i="1"/>
  <c r="BF61" i="1" s="1"/>
  <c r="AN139" i="1"/>
  <c r="AN77" i="1"/>
  <c r="AN131" i="1" s="1"/>
  <c r="BM62" i="1"/>
  <c r="BM77" i="1" s="1"/>
  <c r="AH62" i="1"/>
  <c r="DX63" i="1"/>
  <c r="DC63" i="1"/>
  <c r="CF63" i="1" s="1"/>
  <c r="AG67" i="1"/>
  <c r="BF67" i="1" s="1"/>
  <c r="CE67" i="1"/>
  <c r="DD67" i="1" s="1"/>
  <c r="DE71" i="1"/>
  <c r="K139" i="1"/>
  <c r="BK139" i="1"/>
  <c r="BO139" i="1"/>
  <c r="BS139" i="1"/>
  <c r="BW139" i="1"/>
  <c r="CA139" i="1"/>
  <c r="DH139" i="1"/>
  <c r="DL139" i="1"/>
  <c r="DP139" i="1"/>
  <c r="DT139" i="1"/>
  <c r="EB51" i="1"/>
  <c r="G52" i="1"/>
  <c r="AZ139" i="1"/>
  <c r="BI52" i="1"/>
  <c r="BG52" i="1" s="1"/>
  <c r="BI53" i="1"/>
  <c r="BG53" i="1" s="1"/>
  <c r="DG53" i="1"/>
  <c r="DE53" i="1" s="1"/>
  <c r="AB139" i="1"/>
  <c r="BZ55" i="1"/>
  <c r="G60" i="1"/>
  <c r="DX60" i="1"/>
  <c r="G61" i="1"/>
  <c r="DG61" i="1"/>
  <c r="DW61" i="1"/>
  <c r="CL139" i="1"/>
  <c r="AG66" i="1"/>
  <c r="BF66" i="1" s="1"/>
  <c r="BZ69" i="1"/>
  <c r="BG69" i="1" s="1"/>
  <c r="CF70" i="1"/>
  <c r="BI71" i="1"/>
  <c r="BY71" i="1"/>
  <c r="G72" i="1"/>
  <c r="AG72" i="1" s="1"/>
  <c r="BF72" i="1" s="1"/>
  <c r="DG72" i="1"/>
  <c r="DE72" i="1" s="1"/>
  <c r="BY73" i="1"/>
  <c r="BG73" i="1" s="1"/>
  <c r="G74" i="1"/>
  <c r="AG74" i="1" s="1"/>
  <c r="BF74" i="1" s="1"/>
  <c r="BY74" i="1"/>
  <c r="BG74" i="1" s="1"/>
  <c r="G75" i="1"/>
  <c r="AB77" i="1"/>
  <c r="AH78" i="1"/>
  <c r="BO135" i="1"/>
  <c r="BO97" i="1"/>
  <c r="BS135" i="1"/>
  <c r="BS97" i="1"/>
  <c r="BW135" i="1"/>
  <c r="BW97" i="1"/>
  <c r="DL135" i="1"/>
  <c r="DL97" i="1"/>
  <c r="DP135" i="1"/>
  <c r="DP97" i="1"/>
  <c r="DT135" i="1"/>
  <c r="DT97" i="1"/>
  <c r="DX135" i="1"/>
  <c r="DX97" i="1"/>
  <c r="AG82" i="1"/>
  <c r="BF82" i="1" s="1"/>
  <c r="AH133" i="1"/>
  <c r="CE101" i="1"/>
  <c r="DD101" i="1" s="1"/>
  <c r="CD65" i="1"/>
  <c r="BG65" i="1" s="1"/>
  <c r="EB65" i="1"/>
  <c r="DE65" i="1" s="1"/>
  <c r="DG68" i="1"/>
  <c r="DE68" i="1" s="1"/>
  <c r="DW69" i="1"/>
  <c r="DE69" i="1" s="1"/>
  <c r="BY70" i="1"/>
  <c r="BG70" i="1" s="1"/>
  <c r="DW70" i="1"/>
  <c r="DE70" i="1" s="1"/>
  <c r="AG73" i="1"/>
  <c r="BF73" i="1" s="1"/>
  <c r="CE76" i="1"/>
  <c r="DD76" i="1" s="1"/>
  <c r="Y77" i="1"/>
  <c r="AX77" i="1"/>
  <c r="AX131" i="1" s="1"/>
  <c r="CL77" i="1"/>
  <c r="CL131" i="1" s="1"/>
  <c r="J135" i="1"/>
  <c r="J97" i="1"/>
  <c r="AI135" i="1"/>
  <c r="AI97" i="1"/>
  <c r="BH78" i="1"/>
  <c r="BL135" i="1"/>
  <c r="BL97" i="1"/>
  <c r="BP135" i="1"/>
  <c r="BP97" i="1"/>
  <c r="BT135" i="1"/>
  <c r="BT97" i="1"/>
  <c r="CB135" i="1"/>
  <c r="CB97" i="1"/>
  <c r="BG82" i="1"/>
  <c r="AG88" i="1"/>
  <c r="BF88" i="1" s="1"/>
  <c r="BG90" i="1"/>
  <c r="BG92" i="1"/>
  <c r="CH135" i="1"/>
  <c r="CF95" i="1"/>
  <c r="CH97" i="1"/>
  <c r="DG95" i="1"/>
  <c r="BV133" i="1"/>
  <c r="DE100" i="1"/>
  <c r="AF139" i="1"/>
  <c r="BE139" i="1"/>
  <c r="BI51" i="1"/>
  <c r="BQ139" i="1"/>
  <c r="BU139" i="1"/>
  <c r="CC139" i="1"/>
  <c r="CH139" i="1"/>
  <c r="DF139" i="1"/>
  <c r="DJ139" i="1"/>
  <c r="DN139" i="1"/>
  <c r="DR139" i="1"/>
  <c r="DV139" i="1"/>
  <c r="DZ139" i="1"/>
  <c r="AG53" i="1"/>
  <c r="BF53" i="1" s="1"/>
  <c r="BA139" i="1"/>
  <c r="DW55" i="1"/>
  <c r="DE55" i="1" s="1"/>
  <c r="AG57" i="1"/>
  <c r="BF57" i="1" s="1"/>
  <c r="AH59" i="1"/>
  <c r="CF59" i="1"/>
  <c r="DG62" i="1"/>
  <c r="DK62" i="1"/>
  <c r="DK139" i="1" s="1"/>
  <c r="BY63" i="1"/>
  <c r="AG65" i="1"/>
  <c r="BF65" i="1" s="1"/>
  <c r="I66" i="1"/>
  <c r="CF66" i="1"/>
  <c r="DU66" i="1"/>
  <c r="DU139" i="1" s="1"/>
  <c r="CD67" i="1"/>
  <c r="BG67" i="1" s="1"/>
  <c r="G69" i="1"/>
  <c r="AG69" i="1" s="1"/>
  <c r="BF69" i="1" s="1"/>
  <c r="G71" i="1"/>
  <c r="I73" i="1"/>
  <c r="BI75" i="1"/>
  <c r="BG75" i="1" s="1"/>
  <c r="BK77" i="1"/>
  <c r="BO77" i="1"/>
  <c r="BS77" i="1"/>
  <c r="BW77" i="1"/>
  <c r="CA77" i="1"/>
  <c r="AA135" i="1"/>
  <c r="AA97" i="1"/>
  <c r="BB135" i="1"/>
  <c r="BB97" i="1"/>
  <c r="BI135" i="1"/>
  <c r="BI97" i="1"/>
  <c r="BM135" i="1"/>
  <c r="BM97" i="1"/>
  <c r="BQ135" i="1"/>
  <c r="BQ97" i="1"/>
  <c r="BU135" i="1"/>
  <c r="BU97" i="1"/>
  <c r="BY78" i="1"/>
  <c r="CC135" i="1"/>
  <c r="CC97" i="1"/>
  <c r="DF78" i="1"/>
  <c r="DJ135" i="1"/>
  <c r="DJ97" i="1"/>
  <c r="DN135" i="1"/>
  <c r="DN97" i="1"/>
  <c r="DR135" i="1"/>
  <c r="DR97" i="1"/>
  <c r="EA135" i="1"/>
  <c r="EA97" i="1"/>
  <c r="DE82" i="1"/>
  <c r="CE83" i="1"/>
  <c r="DD83" i="1" s="1"/>
  <c r="CE84" i="1"/>
  <c r="DD84" i="1" s="1"/>
  <c r="DV90" i="1"/>
  <c r="DE90" i="1" s="1"/>
  <c r="CF90" i="1"/>
  <c r="AG101" i="1"/>
  <c r="BF101" i="1" s="1"/>
  <c r="DE102" i="1"/>
  <c r="I104" i="1"/>
  <c r="CE104" i="1"/>
  <c r="DD104" i="1" s="1"/>
  <c r="DO139" i="1"/>
  <c r="DS139" i="1"/>
  <c r="EA139" i="1"/>
  <c r="CD63" i="1"/>
  <c r="G68" i="1"/>
  <c r="AG68" i="1" s="1"/>
  <c r="BF68" i="1" s="1"/>
  <c r="K77" i="1"/>
  <c r="AZ77" i="1"/>
  <c r="CV77" i="1"/>
  <c r="DH77" i="1"/>
  <c r="DL77" i="1"/>
  <c r="DP77" i="1"/>
  <c r="DT77" i="1"/>
  <c r="G78" i="1"/>
  <c r="BN135" i="1"/>
  <c r="BN97" i="1"/>
  <c r="BR135" i="1"/>
  <c r="BR97" i="1"/>
  <c r="BV135" i="1"/>
  <c r="BV97" i="1"/>
  <c r="BZ135" i="1"/>
  <c r="BZ97" i="1"/>
  <c r="DY78" i="1"/>
  <c r="DG135" i="1"/>
  <c r="DG97" i="1"/>
  <c r="DK135" i="1"/>
  <c r="DK97" i="1"/>
  <c r="DO135" i="1"/>
  <c r="DO97" i="1"/>
  <c r="DS135" i="1"/>
  <c r="DS97" i="1"/>
  <c r="DW78" i="1"/>
  <c r="AZ135" i="1"/>
  <c r="AZ97" i="1"/>
  <c r="AF135" i="1"/>
  <c r="G85" i="1"/>
  <c r="AF97" i="1"/>
  <c r="EB85" i="1"/>
  <c r="EB135" i="1" s="1"/>
  <c r="CD85" i="1"/>
  <c r="BG85" i="1" s="1"/>
  <c r="DW87" i="1"/>
  <c r="DE87" i="1" s="1"/>
  <c r="BG88" i="1"/>
  <c r="BG96" i="1"/>
  <c r="CW135" i="1"/>
  <c r="DV83" i="1"/>
  <c r="DV135" i="1" s="1"/>
  <c r="BY84" i="1"/>
  <c r="BG84" i="1" s="1"/>
  <c r="BY87" i="1"/>
  <c r="BG87" i="1" s="1"/>
  <c r="CZ88" i="1"/>
  <c r="DY88" i="1" s="1"/>
  <c r="DW88" i="1"/>
  <c r="AH89" i="1"/>
  <c r="BJ89" i="1"/>
  <c r="BJ135" i="1" s="1"/>
  <c r="CZ89" i="1"/>
  <c r="DY89" i="1" s="1"/>
  <c r="BH91" i="1"/>
  <c r="BG91" i="1" s="1"/>
  <c r="G92" i="1"/>
  <c r="AH92" i="1"/>
  <c r="DW92" i="1"/>
  <c r="DE92" i="1" s="1"/>
  <c r="BH93" i="1"/>
  <c r="BG93" i="1" s="1"/>
  <c r="CF93" i="1"/>
  <c r="G94" i="1"/>
  <c r="CG96" i="1"/>
  <c r="CF96" i="1" s="1"/>
  <c r="AJ97" i="1"/>
  <c r="CJ97" i="1"/>
  <c r="G98" i="1"/>
  <c r="AG98" i="1" s="1"/>
  <c r="BF98" i="1" s="1"/>
  <c r="AM133" i="1"/>
  <c r="AM140" i="1" s="1"/>
  <c r="AM129" i="1"/>
  <c r="AM131" i="1" s="1"/>
  <c r="BJ133" i="1"/>
  <c r="BJ129" i="1"/>
  <c r="BN133" i="1"/>
  <c r="BR133" i="1"/>
  <c r="BR129" i="1"/>
  <c r="BZ133" i="1"/>
  <c r="BZ129" i="1"/>
  <c r="CD98" i="1"/>
  <c r="CK133" i="1"/>
  <c r="CK140" i="1" s="1"/>
  <c r="CK129" i="1"/>
  <c r="CK131" i="1" s="1"/>
  <c r="DF98" i="1"/>
  <c r="DJ98" i="1"/>
  <c r="DR133" i="1"/>
  <c r="DR129" i="1"/>
  <c r="DV133" i="1"/>
  <c r="DZ133" i="1"/>
  <c r="DZ129" i="1"/>
  <c r="AG99" i="1"/>
  <c r="BF99" i="1" s="1"/>
  <c r="I101" i="1"/>
  <c r="S133" i="1"/>
  <c r="S129" i="1"/>
  <c r="AZ129" i="1"/>
  <c r="AZ133" i="1"/>
  <c r="BK101" i="1"/>
  <c r="DO101" i="1"/>
  <c r="BI102" i="1"/>
  <c r="BI133" i="1" s="1"/>
  <c r="M134" i="1"/>
  <c r="DI103" i="1"/>
  <c r="AF134" i="1"/>
  <c r="CD103" i="1"/>
  <c r="BK103" i="1"/>
  <c r="BW134" i="1"/>
  <c r="DB134" i="1"/>
  <c r="DB140" i="1" s="1"/>
  <c r="DB129" i="1"/>
  <c r="DB131" i="1" s="1"/>
  <c r="CF103" i="1"/>
  <c r="DN134" i="1"/>
  <c r="EB103" i="1"/>
  <c r="AG106" i="1"/>
  <c r="BF106" i="1" s="1"/>
  <c r="G107" i="1"/>
  <c r="CE107" i="1" s="1"/>
  <c r="DD107" i="1" s="1"/>
  <c r="BK107" i="1"/>
  <c r="BG107" i="1" s="1"/>
  <c r="DI107" i="1"/>
  <c r="DE107" i="1" s="1"/>
  <c r="DE108" i="1"/>
  <c r="AG109" i="1"/>
  <c r="BF109" i="1" s="1"/>
  <c r="DE110" i="1"/>
  <c r="CD112" i="1"/>
  <c r="BG112" i="1" s="1"/>
  <c r="CE113" i="1"/>
  <c r="DD113" i="1" s="1"/>
  <c r="DW114" i="1"/>
  <c r="CE119" i="1"/>
  <c r="DD119" i="1" s="1"/>
  <c r="BY120" i="1"/>
  <c r="G120" i="1"/>
  <c r="DW120" i="1"/>
  <c r="CE121" i="1"/>
  <c r="DD121" i="1" s="1"/>
  <c r="DG125" i="1"/>
  <c r="DE125" i="1" s="1"/>
  <c r="G125" i="1"/>
  <c r="BI125" i="1"/>
  <c r="DM135" i="1"/>
  <c r="DQ135" i="1"/>
  <c r="DU135" i="1"/>
  <c r="BY79" i="1"/>
  <c r="BG79" i="1" s="1"/>
  <c r="AH80" i="1"/>
  <c r="CE82" i="1"/>
  <c r="DD82" i="1" s="1"/>
  <c r="CX135" i="1"/>
  <c r="AH85" i="1"/>
  <c r="G87" i="1"/>
  <c r="AG87" i="1" s="1"/>
  <c r="BF87" i="1" s="1"/>
  <c r="G91" i="1"/>
  <c r="G93" i="1"/>
  <c r="AG93" i="1" s="1"/>
  <c r="BF93" i="1" s="1"/>
  <c r="G95" i="1"/>
  <c r="CD95" i="1"/>
  <c r="CD135" i="1" s="1"/>
  <c r="G96" i="1"/>
  <c r="M97" i="1"/>
  <c r="AC97" i="1"/>
  <c r="AK97" i="1"/>
  <c r="AK131" i="1" s="1"/>
  <c r="BE97" i="1"/>
  <c r="CW97" i="1"/>
  <c r="DM97" i="1"/>
  <c r="DQ97" i="1"/>
  <c r="DU97" i="1"/>
  <c r="AS140" i="1"/>
  <c r="BO133" i="1"/>
  <c r="BS133" i="1"/>
  <c r="BW133" i="1"/>
  <c r="BW129" i="1"/>
  <c r="CA133" i="1"/>
  <c r="CT133" i="1"/>
  <c r="CT140" i="1" s="1"/>
  <c r="CT129" i="1"/>
  <c r="CT131" i="1" s="1"/>
  <c r="DG133" i="1"/>
  <c r="DK133" i="1"/>
  <c r="DK129" i="1"/>
  <c r="DO133" i="1"/>
  <c r="DS98" i="1"/>
  <c r="DW133" i="1"/>
  <c r="EA133" i="1"/>
  <c r="G100" i="1"/>
  <c r="K133" i="1"/>
  <c r="K129" i="1"/>
  <c r="V133" i="1"/>
  <c r="V140" i="1" s="1"/>
  <c r="V129" i="1"/>
  <c r="V131" i="1" s="1"/>
  <c r="BD129" i="1"/>
  <c r="BD131" i="1" s="1"/>
  <c r="BD133" i="1"/>
  <c r="BD140" i="1" s="1"/>
  <c r="BT101" i="1"/>
  <c r="BT133" i="1" s="1"/>
  <c r="EB101" i="1"/>
  <c r="G102" i="1"/>
  <c r="G103" i="1"/>
  <c r="Q134" i="1"/>
  <c r="Q129" i="1"/>
  <c r="Q131" i="1" s="1"/>
  <c r="DM103" i="1"/>
  <c r="DM134" i="1" s="1"/>
  <c r="DT134" i="1"/>
  <c r="DX134" i="1"/>
  <c r="EB104" i="1"/>
  <c r="CD104" i="1"/>
  <c r="CE105" i="1"/>
  <c r="DD105" i="1" s="1"/>
  <c r="DG109" i="1"/>
  <c r="DE109" i="1" s="1"/>
  <c r="AG110" i="1"/>
  <c r="BF110" i="1" s="1"/>
  <c r="AG111" i="1"/>
  <c r="BF111" i="1" s="1"/>
  <c r="CE111" i="1"/>
  <c r="DD111" i="1" s="1"/>
  <c r="CE112" i="1"/>
  <c r="DD112" i="1" s="1"/>
  <c r="AW134" i="1"/>
  <c r="BV113" i="1"/>
  <c r="BV129" i="1" s="1"/>
  <c r="G114" i="1"/>
  <c r="AG114" i="1" s="1"/>
  <c r="BF114" i="1" s="1"/>
  <c r="EB114" i="1"/>
  <c r="CD114" i="1"/>
  <c r="BS114" i="1"/>
  <c r="BS134" i="1" s="1"/>
  <c r="AI134" i="1"/>
  <c r="BH115" i="1"/>
  <c r="AH115" i="1"/>
  <c r="DG116" i="1"/>
  <c r="CF116" i="1"/>
  <c r="G117" i="1"/>
  <c r="DW117" i="1"/>
  <c r="BY117" i="1"/>
  <c r="BG117" i="1" s="1"/>
  <c r="CE120" i="1"/>
  <c r="DD120" i="1" s="1"/>
  <c r="CE122" i="1"/>
  <c r="DD122" i="1" s="1"/>
  <c r="DE122" i="1"/>
  <c r="CE123" i="1"/>
  <c r="DD123" i="1" s="1"/>
  <c r="DV129" i="1"/>
  <c r="DZ135" i="1"/>
  <c r="BX83" i="1"/>
  <c r="BG83" i="1" s="1"/>
  <c r="CF85" i="1"/>
  <c r="AG86" i="1"/>
  <c r="BF86" i="1" s="1"/>
  <c r="DH89" i="1"/>
  <c r="DH97" i="1" s="1"/>
  <c r="AG90" i="1"/>
  <c r="BF90" i="1" s="1"/>
  <c r="DY94" i="1"/>
  <c r="DE94" i="1" s="1"/>
  <c r="AG95" i="1"/>
  <c r="BF95" i="1" s="1"/>
  <c r="BK95" i="1"/>
  <c r="BK135" i="1" s="1"/>
  <c r="DI95" i="1"/>
  <c r="DI135" i="1" s="1"/>
  <c r="AL97" i="1"/>
  <c r="CX97" i="1"/>
  <c r="DZ97" i="1"/>
  <c r="M133" i="1"/>
  <c r="M140" i="1" s="1"/>
  <c r="M129" i="1"/>
  <c r="AI133" i="1"/>
  <c r="AI129" i="1"/>
  <c r="AV129" i="1"/>
  <c r="AV131" i="1" s="1"/>
  <c r="AV133" i="1"/>
  <c r="AV140" i="1" s="1"/>
  <c r="BH98" i="1"/>
  <c r="BL129" i="1"/>
  <c r="BL133" i="1"/>
  <c r="BP129" i="1"/>
  <c r="BP133" i="1"/>
  <c r="BT129" i="1"/>
  <c r="BX129" i="1"/>
  <c r="BX133" i="1"/>
  <c r="CB129" i="1"/>
  <c r="CB133" i="1"/>
  <c r="DH129" i="1"/>
  <c r="DH133" i="1"/>
  <c r="DL129" i="1"/>
  <c r="DL133" i="1"/>
  <c r="DL140" i="1" s="1"/>
  <c r="DP129" i="1"/>
  <c r="DP133" i="1"/>
  <c r="DP140" i="1" s="1"/>
  <c r="DT129" i="1"/>
  <c r="DT133" i="1"/>
  <c r="DT140" i="1" s="1"/>
  <c r="DX133" i="1"/>
  <c r="BE133" i="1"/>
  <c r="BE140" i="1" s="1"/>
  <c r="BE129" i="1"/>
  <c r="DC133" i="1"/>
  <c r="DC129" i="1"/>
  <c r="AE133" i="1"/>
  <c r="AE129" i="1"/>
  <c r="AJ129" i="1"/>
  <c r="AJ133" i="1"/>
  <c r="AJ140" i="1" s="1"/>
  <c r="BI101" i="1"/>
  <c r="CC101" i="1"/>
  <c r="CC133" i="1" s="1"/>
  <c r="CJ129" i="1"/>
  <c r="CJ133" i="1"/>
  <c r="CJ140" i="1" s="1"/>
  <c r="BK102" i="1"/>
  <c r="S134" i="1"/>
  <c r="DO103" i="1"/>
  <c r="DO134" i="1" s="1"/>
  <c r="AH103" i="1"/>
  <c r="BQ103" i="1"/>
  <c r="AG104" i="1"/>
  <c r="BF104" i="1" s="1"/>
  <c r="AG107" i="1"/>
  <c r="BF107" i="1" s="1"/>
  <c r="I109" i="1"/>
  <c r="BI109" i="1"/>
  <c r="I112" i="1"/>
  <c r="EB112" i="1"/>
  <c r="DE112" i="1" s="1"/>
  <c r="AG119" i="1"/>
  <c r="BF119" i="1" s="1"/>
  <c r="AH124" i="1"/>
  <c r="BI124" i="1"/>
  <c r="BG124" i="1" s="1"/>
  <c r="DW126" i="1"/>
  <c r="BY126" i="1"/>
  <c r="G126" i="1"/>
  <c r="CF128" i="1"/>
  <c r="DG128" i="1"/>
  <c r="DE128" i="1" s="1"/>
  <c r="CA94" i="1"/>
  <c r="CA135" i="1" s="1"/>
  <c r="BH95" i="1"/>
  <c r="AY97" i="1"/>
  <c r="AY131" i="1" s="1"/>
  <c r="CI97" i="1"/>
  <c r="CI131" i="1" s="1"/>
  <c r="DC97" i="1"/>
  <c r="AF129" i="1"/>
  <c r="AF133" i="1"/>
  <c r="AF140" i="1" s="1"/>
  <c r="AL133" i="1"/>
  <c r="AL140" i="1" s="1"/>
  <c r="AL129" i="1"/>
  <c r="AW129" i="1"/>
  <c r="AW133" i="1"/>
  <c r="BM133" i="1"/>
  <c r="BM129" i="1"/>
  <c r="BQ133" i="1"/>
  <c r="BU133" i="1"/>
  <c r="BU129" i="1"/>
  <c r="BY133" i="1"/>
  <c r="CG133" i="1"/>
  <c r="CG129" i="1"/>
  <c r="DI133" i="1"/>
  <c r="DM133" i="1"/>
  <c r="DM129" i="1"/>
  <c r="DQ133" i="1"/>
  <c r="DU133" i="1"/>
  <c r="DU129" i="1"/>
  <c r="DY133" i="1"/>
  <c r="DY129" i="1"/>
  <c r="CD100" i="1"/>
  <c r="BG100" i="1" s="1"/>
  <c r="R133" i="1"/>
  <c r="R140" i="1" s="1"/>
  <c r="R129" i="1"/>
  <c r="CX133" i="1"/>
  <c r="CX129" i="1"/>
  <c r="DN101" i="1"/>
  <c r="DE101" i="1" s="1"/>
  <c r="K134" i="1"/>
  <c r="DG103" i="1"/>
  <c r="AE134" i="1"/>
  <c r="EA103" i="1"/>
  <c r="EA134" i="1" s="1"/>
  <c r="DF134" i="1"/>
  <c r="DG104" i="1"/>
  <c r="DE104" i="1" s="1"/>
  <c r="BI104" i="1"/>
  <c r="BG104" i="1" s="1"/>
  <c r="I106" i="1"/>
  <c r="DE106" i="1"/>
  <c r="I111" i="1"/>
  <c r="I113" i="1"/>
  <c r="DG115" i="1"/>
  <c r="BI115" i="1"/>
  <c r="CF115" i="1"/>
  <c r="DW115" i="1"/>
  <c r="AA134" i="1"/>
  <c r="AA129" i="1"/>
  <c r="G116" i="1"/>
  <c r="AG116" i="1" s="1"/>
  <c r="BF116" i="1" s="1"/>
  <c r="DW116" i="1"/>
  <c r="BY116" i="1"/>
  <c r="BG116" i="1" s="1"/>
  <c r="AG117" i="1"/>
  <c r="BF117" i="1" s="1"/>
  <c r="DG117" i="1"/>
  <c r="CF117" i="1"/>
  <c r="G118" i="1"/>
  <c r="CE118" i="1" s="1"/>
  <c r="DD118" i="1" s="1"/>
  <c r="BY118" i="1"/>
  <c r="DW118" i="1"/>
  <c r="DE118" i="1" s="1"/>
  <c r="I119" i="1"/>
  <c r="AH122" i="1"/>
  <c r="BY122" i="1"/>
  <c r="BG122" i="1" s="1"/>
  <c r="AS129" i="1"/>
  <c r="BH134" i="1"/>
  <c r="BL134" i="1"/>
  <c r="BP134" i="1"/>
  <c r="BT134" i="1"/>
  <c r="BX134" i="1"/>
  <c r="CB134" i="1"/>
  <c r="DU134" i="1"/>
  <c r="DY134" i="1"/>
  <c r="BB134" i="1"/>
  <c r="BB140" i="1" s="1"/>
  <c r="BB129" i="1"/>
  <c r="CD106" i="1"/>
  <c r="BG106" i="1" s="1"/>
  <c r="CR129" i="1"/>
  <c r="CR134" i="1"/>
  <c r="CR140" i="1" s="1"/>
  <c r="G108" i="1"/>
  <c r="CE108" i="1" s="1"/>
  <c r="DD108" i="1" s="1"/>
  <c r="BK108" i="1"/>
  <c r="BO108" i="1"/>
  <c r="AU134" i="1"/>
  <c r="AU140" i="1" s="1"/>
  <c r="AU129" i="1"/>
  <c r="AU131" i="1" s="1"/>
  <c r="AO134" i="1"/>
  <c r="AO140" i="1" s="1"/>
  <c r="AO129" i="1"/>
  <c r="AO131" i="1" s="1"/>
  <c r="BN114" i="1"/>
  <c r="BN134" i="1" s="1"/>
  <c r="J134" i="1"/>
  <c r="J140" i="1" s="1"/>
  <c r="J129" i="1"/>
  <c r="CH134" i="1"/>
  <c r="CH129" i="1"/>
  <c r="CY134" i="1"/>
  <c r="CY140" i="1" s="1"/>
  <c r="CY129" i="1"/>
  <c r="BK119" i="1"/>
  <c r="BG119" i="1" s="1"/>
  <c r="AZ138" i="1"/>
  <c r="DG123" i="1"/>
  <c r="DE123" i="1" s="1"/>
  <c r="BI123" i="1"/>
  <c r="BG123" i="1" s="1"/>
  <c r="BR134" i="1"/>
  <c r="BV134" i="1"/>
  <c r="BZ134" i="1"/>
  <c r="DC134" i="1"/>
  <c r="DK134" i="1"/>
  <c r="DS134" i="1"/>
  <c r="U134" i="1"/>
  <c r="U140" i="1" s="1"/>
  <c r="AH105" i="1"/>
  <c r="DQ105" i="1"/>
  <c r="DQ134" i="1" s="1"/>
  <c r="AT134" i="1"/>
  <c r="AT140" i="1" s="1"/>
  <c r="AT129" i="1"/>
  <c r="CF106" i="1"/>
  <c r="CD109" i="1"/>
  <c r="AG112" i="1"/>
  <c r="BF112" i="1" s="1"/>
  <c r="BQ113" i="1"/>
  <c r="BG113" i="1" s="1"/>
  <c r="AZ134" i="1"/>
  <c r="CF114" i="1"/>
  <c r="G115" i="1"/>
  <c r="BA134" i="1"/>
  <c r="BA140" i="1" s="1"/>
  <c r="BA129" i="1"/>
  <c r="BI121" i="1"/>
  <c r="BG121" i="1" s="1"/>
  <c r="U129" i="1"/>
  <c r="AC134" i="1"/>
  <c r="AC140" i="1" s="1"/>
  <c r="AC129" i="1"/>
  <c r="CA105" i="1"/>
  <c r="CA129" i="1" s="1"/>
  <c r="CD111" i="1"/>
  <c r="BG111" i="1" s="1"/>
  <c r="AR129" i="1"/>
  <c r="AR131" i="1" s="1"/>
  <c r="AR134" i="1"/>
  <c r="CM134" i="1"/>
  <c r="CM140" i="1" s="1"/>
  <c r="CM129" i="1"/>
  <c r="CM131" i="1" s="1"/>
  <c r="BI120" i="1"/>
  <c r="BG120" i="1" s="1"/>
  <c r="I123" i="1"/>
  <c r="AH123" i="1"/>
  <c r="AG125" i="1"/>
  <c r="BF125" i="1" s="1"/>
  <c r="AH126" i="1"/>
  <c r="BI126" i="1"/>
  <c r="CE127" i="1"/>
  <c r="DD127" i="1" s="1"/>
  <c r="I128" i="1"/>
  <c r="CD125" i="1"/>
  <c r="DX126" i="1"/>
  <c r="CF126" i="1"/>
  <c r="BI127" i="1"/>
  <c r="BG127" i="1" s="1"/>
  <c r="AN140" i="1"/>
  <c r="AR140" i="1"/>
  <c r="AB129" i="1"/>
  <c r="DX124" i="1"/>
  <c r="G124" i="1"/>
  <c r="CF124" i="1"/>
  <c r="DG126" i="1"/>
  <c r="I127" i="1"/>
  <c r="Q140" i="1"/>
  <c r="AA140" i="1"/>
  <c r="X140" i="1"/>
  <c r="AB140" i="1"/>
  <c r="AK140" i="1"/>
  <c r="CV140" i="1"/>
  <c r="Y140" i="1"/>
  <c r="AQ140" i="1"/>
  <c r="AY140" i="1"/>
  <c r="BC140" i="1"/>
  <c r="CO140" i="1"/>
  <c r="CW140" i="1"/>
  <c r="DA140" i="1"/>
  <c r="N140" i="1"/>
  <c r="N141" i="1" s="1"/>
  <c r="Z140" i="1"/>
  <c r="Z141" i="1" s="1"/>
  <c r="AD140" i="1"/>
  <c r="AP140" i="1"/>
  <c r="AX140" i="1"/>
  <c r="CL140" i="1"/>
  <c r="CP140" i="1"/>
  <c r="CI140" i="1"/>
  <c r="CQ140" i="1"/>
  <c r="CU140" i="1"/>
  <c r="AW140" i="1" l="1"/>
  <c r="DX77" i="1"/>
  <c r="CC24" i="1"/>
  <c r="DE6" i="1"/>
  <c r="CE91" i="2"/>
  <c r="DD91" i="2" s="1"/>
  <c r="EF91" i="2"/>
  <c r="CE41" i="2"/>
  <c r="DD41" i="2" s="1"/>
  <c r="EF41" i="2"/>
  <c r="CE39" i="2"/>
  <c r="DD39" i="2" s="1"/>
  <c r="EF39" i="2"/>
  <c r="CE124" i="2"/>
  <c r="DD124" i="2" s="1"/>
  <c r="EF124" i="2"/>
  <c r="BG126" i="1"/>
  <c r="BY134" i="1"/>
  <c r="DW134" i="1"/>
  <c r="BG11" i="1"/>
  <c r="BX135" i="2"/>
  <c r="CE72" i="2"/>
  <c r="DD72" i="2" s="1"/>
  <c r="EF72" i="2"/>
  <c r="CE89" i="2"/>
  <c r="DD89" i="2" s="1"/>
  <c r="EF89" i="2"/>
  <c r="CE26" i="2"/>
  <c r="DD26" i="2" s="1"/>
  <c r="EF26" i="2"/>
  <c r="CE106" i="2"/>
  <c r="DD106" i="2" s="1"/>
  <c r="EF106" i="2"/>
  <c r="CE46" i="2"/>
  <c r="DD46" i="2" s="1"/>
  <c r="EF46" i="2"/>
  <c r="CE61" i="2"/>
  <c r="DD61" i="2" s="1"/>
  <c r="EF61" i="2"/>
  <c r="DG134" i="2"/>
  <c r="DC77" i="2"/>
  <c r="CE32" i="2"/>
  <c r="DD32" i="2" s="1"/>
  <c r="DQ50" i="2"/>
  <c r="M140" i="2"/>
  <c r="DE117" i="1"/>
  <c r="BU140" i="1"/>
  <c r="AV141" i="1"/>
  <c r="DE116" i="1"/>
  <c r="DE62" i="1"/>
  <c r="BG71" i="1"/>
  <c r="DX139" i="1"/>
  <c r="CD136" i="1"/>
  <c r="DQ24" i="1"/>
  <c r="DE120" i="2"/>
  <c r="DE114" i="2"/>
  <c r="DU140" i="2"/>
  <c r="BG66" i="2"/>
  <c r="CC138" i="2"/>
  <c r="DE114" i="1"/>
  <c r="BT140" i="1"/>
  <c r="BG55" i="1"/>
  <c r="BE140" i="2"/>
  <c r="BG115" i="2"/>
  <c r="BQ129" i="1"/>
  <c r="DH140" i="2"/>
  <c r="CI141" i="1"/>
  <c r="CK141" i="1"/>
  <c r="DE93" i="1"/>
  <c r="BT140" i="2"/>
  <c r="CD50" i="2"/>
  <c r="BZ50" i="1"/>
  <c r="DV135" i="2"/>
  <c r="AU141" i="1"/>
  <c r="CX140" i="1"/>
  <c r="DE46" i="1"/>
  <c r="AL140" i="2"/>
  <c r="EB133" i="2"/>
  <c r="DR140" i="2"/>
  <c r="BZ129" i="2"/>
  <c r="CC129" i="2"/>
  <c r="K140" i="2"/>
  <c r="BS129" i="2"/>
  <c r="CE101" i="2"/>
  <c r="DD101" i="2" s="1"/>
  <c r="BY77" i="2"/>
  <c r="DE25" i="2"/>
  <c r="DG136" i="2"/>
  <c r="BW139" i="2"/>
  <c r="BW140" i="2" s="1"/>
  <c r="DC139" i="2"/>
  <c r="CF139" i="2" s="1"/>
  <c r="EF140" i="2" s="1"/>
  <c r="DE36" i="2"/>
  <c r="BG87" i="2"/>
  <c r="DW77" i="2"/>
  <c r="DQ138" i="2"/>
  <c r="BM140" i="2"/>
  <c r="BL140" i="2"/>
  <c r="CG131" i="2"/>
  <c r="BG68" i="2"/>
  <c r="BY137" i="2"/>
  <c r="BS50" i="2"/>
  <c r="BI136" i="2"/>
  <c r="DV24" i="2"/>
  <c r="AI131" i="2"/>
  <c r="AR131" i="2"/>
  <c r="AZ131" i="2"/>
  <c r="DE15" i="2"/>
  <c r="BZ50" i="2"/>
  <c r="DW129" i="2"/>
  <c r="DQ129" i="2"/>
  <c r="AC131" i="2"/>
  <c r="DE29" i="2"/>
  <c r="BG14" i="2"/>
  <c r="BI138" i="2"/>
  <c r="DV131" i="2"/>
  <c r="I119" i="2"/>
  <c r="CE119" i="2"/>
  <c r="DD119" i="2" s="1"/>
  <c r="DF134" i="2"/>
  <c r="BY134" i="2"/>
  <c r="CG140" i="2"/>
  <c r="CF133" i="2"/>
  <c r="EF134" i="2" s="1"/>
  <c r="BH134" i="2"/>
  <c r="BP133" i="2"/>
  <c r="DE118" i="2"/>
  <c r="BG106" i="2"/>
  <c r="DW133" i="2"/>
  <c r="AH133" i="2"/>
  <c r="BG116" i="2"/>
  <c r="CA129" i="2"/>
  <c r="DE69" i="2"/>
  <c r="BO137" i="2"/>
  <c r="BO140" i="2" s="1"/>
  <c r="BO50" i="2"/>
  <c r="BK134" i="2"/>
  <c r="BK140" i="2" s="1"/>
  <c r="BG103" i="2"/>
  <c r="BO129" i="2"/>
  <c r="CE96" i="2"/>
  <c r="DD96" i="2" s="1"/>
  <c r="BZ77" i="2"/>
  <c r="BZ131" i="2" s="1"/>
  <c r="EB139" i="2"/>
  <c r="EB77" i="2"/>
  <c r="DW50" i="2"/>
  <c r="BV137" i="2"/>
  <c r="BV50" i="2"/>
  <c r="CE66" i="2"/>
  <c r="DD66" i="2" s="1"/>
  <c r="CE48" i="2"/>
  <c r="DD48" i="2" s="1"/>
  <c r="DO137" i="2"/>
  <c r="DO140" i="2" s="1"/>
  <c r="DO50" i="2"/>
  <c r="BG83" i="2"/>
  <c r="BY139" i="2"/>
  <c r="BI139" i="2"/>
  <c r="AG69" i="2"/>
  <c r="BF69" i="2" s="1"/>
  <c r="BI50" i="2"/>
  <c r="DE13" i="2"/>
  <c r="AG66" i="2"/>
  <c r="BF66" i="2" s="1"/>
  <c r="AG48" i="2"/>
  <c r="BF48" i="2" s="1"/>
  <c r="CB137" i="2"/>
  <c r="CB140" i="2" s="1"/>
  <c r="BG15" i="2"/>
  <c r="CE14" i="2"/>
  <c r="DD14" i="2" s="1"/>
  <c r="CD136" i="2"/>
  <c r="DR131" i="2"/>
  <c r="DR141" i="2" s="1"/>
  <c r="CH131" i="2"/>
  <c r="BE131" i="2"/>
  <c r="DQ24" i="2"/>
  <c r="DQ131" i="2" s="1"/>
  <c r="CE69" i="2"/>
  <c r="DD69" i="2" s="1"/>
  <c r="DE62" i="2"/>
  <c r="CE55" i="2"/>
  <c r="DD55" i="2" s="1"/>
  <c r="AG54" i="2"/>
  <c r="BF54" i="2" s="1"/>
  <c r="CE42" i="2"/>
  <c r="DD42" i="2" s="1"/>
  <c r="BG36" i="2"/>
  <c r="CE29" i="2"/>
  <c r="DD29" i="2" s="1"/>
  <c r="AE131" i="2"/>
  <c r="DW139" i="2"/>
  <c r="DA137" i="2"/>
  <c r="DA140" i="2" s="1"/>
  <c r="DZ43" i="2"/>
  <c r="DA50" i="2"/>
  <c r="DA131" i="2" s="1"/>
  <c r="DM37" i="2"/>
  <c r="DE37" i="2" s="1"/>
  <c r="AG29" i="2"/>
  <c r="BF29" i="2" s="1"/>
  <c r="G50" i="2"/>
  <c r="I25" i="2"/>
  <c r="CJ131" i="2"/>
  <c r="AF131" i="2"/>
  <c r="BX136" i="2"/>
  <c r="CE9" i="2"/>
  <c r="DD9" i="2" s="1"/>
  <c r="EA24" i="2"/>
  <c r="BZ138" i="2"/>
  <c r="BZ140" i="2" s="1"/>
  <c r="DU131" i="2"/>
  <c r="DU141" i="2" s="1"/>
  <c r="AH24" i="2"/>
  <c r="CE40" i="2"/>
  <c r="DD40" i="2" s="1"/>
  <c r="AG11" i="2"/>
  <c r="BF11" i="2" s="1"/>
  <c r="DI136" i="2"/>
  <c r="DE136" i="2" s="1"/>
  <c r="DF129" i="2"/>
  <c r="DF133" i="2"/>
  <c r="DE98" i="2"/>
  <c r="CE105" i="2"/>
  <c r="DD105" i="2" s="1"/>
  <c r="I105" i="2"/>
  <c r="DV140" i="2"/>
  <c r="BV129" i="2"/>
  <c r="BV133" i="2"/>
  <c r="G129" i="2"/>
  <c r="I98" i="2"/>
  <c r="DY140" i="2"/>
  <c r="CC140" i="2"/>
  <c r="BU129" i="2"/>
  <c r="BU133" i="2"/>
  <c r="BU140" i="2" s="1"/>
  <c r="CE125" i="2"/>
  <c r="DD125" i="2" s="1"/>
  <c r="I109" i="2"/>
  <c r="AG109" i="2"/>
  <c r="BF109" i="2" s="1"/>
  <c r="AG105" i="2"/>
  <c r="BF105" i="2" s="1"/>
  <c r="DQ134" i="2"/>
  <c r="DQ140" i="2" s="1"/>
  <c r="EB129" i="2"/>
  <c r="BT129" i="2"/>
  <c r="BT131" i="2" s="1"/>
  <c r="CE115" i="2"/>
  <c r="DD115" i="2" s="1"/>
  <c r="CE109" i="2"/>
  <c r="DD109" i="2" s="1"/>
  <c r="CF129" i="2"/>
  <c r="EF129" i="2" s="1"/>
  <c r="CE98" i="2"/>
  <c r="DD98" i="2" s="1"/>
  <c r="BS140" i="2"/>
  <c r="DE103" i="2"/>
  <c r="EA129" i="2"/>
  <c r="DK140" i="2"/>
  <c r="AG98" i="2"/>
  <c r="BF98" i="2" s="1"/>
  <c r="DE93" i="2"/>
  <c r="AG115" i="2"/>
  <c r="BF115" i="2" s="1"/>
  <c r="AG106" i="2"/>
  <c r="BF106" i="2" s="1"/>
  <c r="DI97" i="2"/>
  <c r="BX97" i="2"/>
  <c r="BH135" i="2"/>
  <c r="BH97" i="2"/>
  <c r="BG78" i="2"/>
  <c r="BG97" i="2" s="1"/>
  <c r="AG76" i="2"/>
  <c r="BF76" i="2" s="1"/>
  <c r="I76" i="2"/>
  <c r="BY135" i="2"/>
  <c r="BY97" i="2"/>
  <c r="BY131" i="2" s="1"/>
  <c r="DE105" i="2"/>
  <c r="EB134" i="2"/>
  <c r="I103" i="2"/>
  <c r="CE103" i="2"/>
  <c r="DD103" i="2" s="1"/>
  <c r="DG129" i="2"/>
  <c r="G97" i="2"/>
  <c r="I78" i="2"/>
  <c r="AG71" i="2"/>
  <c r="BF71" i="2" s="1"/>
  <c r="I71" i="2"/>
  <c r="DX139" i="2"/>
  <c r="AH139" i="2"/>
  <c r="AH77" i="2"/>
  <c r="AG51" i="2"/>
  <c r="BF51" i="2" s="1"/>
  <c r="BJ140" i="2"/>
  <c r="DK77" i="2"/>
  <c r="CD139" i="2"/>
  <c r="CD77" i="2"/>
  <c r="BI137" i="2"/>
  <c r="BA131" i="2"/>
  <c r="CE22" i="2"/>
  <c r="DD22" i="2" s="1"/>
  <c r="CE107" i="2"/>
  <c r="DD107" i="2" s="1"/>
  <c r="DW87" i="2"/>
  <c r="DE87" i="2" s="1"/>
  <c r="CE76" i="2"/>
  <c r="DD76" i="2" s="1"/>
  <c r="AG52" i="2"/>
  <c r="BF52" i="2" s="1"/>
  <c r="AG44" i="2"/>
  <c r="BF44" i="2" s="1"/>
  <c r="DL131" i="2"/>
  <c r="DL141" i="2" s="1"/>
  <c r="DG138" i="2"/>
  <c r="DG24" i="2"/>
  <c r="DE6" i="2"/>
  <c r="CE65" i="2"/>
  <c r="DD65" i="2" s="1"/>
  <c r="G77" i="2"/>
  <c r="CE44" i="2"/>
  <c r="DD44" i="2" s="1"/>
  <c r="DM33" i="2"/>
  <c r="DE33" i="2" s="1"/>
  <c r="DM27" i="2"/>
  <c r="DE27" i="2" s="1"/>
  <c r="CF27" i="2"/>
  <c r="DX131" i="2"/>
  <c r="BD131" i="2"/>
  <c r="CE62" i="2"/>
  <c r="DD62" i="2" s="1"/>
  <c r="BG55" i="2"/>
  <c r="BG77" i="2" s="1"/>
  <c r="DE52" i="2"/>
  <c r="DE45" i="2"/>
  <c r="AG42" i="2"/>
  <c r="BF42" i="2" s="1"/>
  <c r="BG34" i="2"/>
  <c r="AG32" i="2"/>
  <c r="BF32" i="2" s="1"/>
  <c r="DD25" i="2"/>
  <c r="AG22" i="2"/>
  <c r="BF22" i="2" s="1"/>
  <c r="U131" i="2"/>
  <c r="DY131" i="2"/>
  <c r="AY131" i="2"/>
  <c r="CE68" i="2"/>
  <c r="DD68" i="2" s="1"/>
  <c r="CF43" i="2"/>
  <c r="AG40" i="2"/>
  <c r="BF40" i="2" s="1"/>
  <c r="EB35" i="2"/>
  <c r="EB50" i="2" s="1"/>
  <c r="AH50" i="2"/>
  <c r="AG50" i="2" s="1"/>
  <c r="BF50" i="2" s="1"/>
  <c r="BG23" i="2"/>
  <c r="BS24" i="2"/>
  <c r="BS131" i="2" s="1"/>
  <c r="BK24" i="2"/>
  <c r="AA131" i="2"/>
  <c r="EA138" i="2"/>
  <c r="BJ131" i="2"/>
  <c r="DE14" i="2"/>
  <c r="AH138" i="2"/>
  <c r="AG9" i="2"/>
  <c r="BF9" i="2" s="1"/>
  <c r="CE11" i="2"/>
  <c r="DD11" i="2" s="1"/>
  <c r="AZ140" i="2"/>
  <c r="DI133" i="2"/>
  <c r="DI129" i="2"/>
  <c r="BI129" i="2"/>
  <c r="AG125" i="2"/>
  <c r="BF125" i="2" s="1"/>
  <c r="CF134" i="2"/>
  <c r="EF135" i="2" s="1"/>
  <c r="DM134" i="2"/>
  <c r="BG105" i="2"/>
  <c r="EA140" i="2"/>
  <c r="DS140" i="2"/>
  <c r="BR129" i="2"/>
  <c r="BR133" i="2"/>
  <c r="AH129" i="2"/>
  <c r="AG129" i="2" s="1"/>
  <c r="BF129" i="2" s="1"/>
  <c r="DE95" i="2"/>
  <c r="CX135" i="2"/>
  <c r="CF135" i="2" s="1"/>
  <c r="EF136" i="2" s="1"/>
  <c r="DE83" i="2"/>
  <c r="BG101" i="2"/>
  <c r="AH135" i="2"/>
  <c r="AH97" i="2"/>
  <c r="AG97" i="2" s="1"/>
  <c r="BF97" i="2" s="1"/>
  <c r="AG78" i="2"/>
  <c r="BF78" i="2" s="1"/>
  <c r="CE51" i="2"/>
  <c r="DD51" i="2" s="1"/>
  <c r="CF77" i="2"/>
  <c r="EF77" i="2" s="1"/>
  <c r="DX134" i="2"/>
  <c r="CD134" i="2"/>
  <c r="DI134" i="2"/>
  <c r="BK129" i="2"/>
  <c r="CE90" i="2"/>
  <c r="DD90" i="2" s="1"/>
  <c r="EB97" i="2"/>
  <c r="CF97" i="2"/>
  <c r="EF97" i="2" s="1"/>
  <c r="CE78" i="2"/>
  <c r="DD78" i="2" s="1"/>
  <c r="DW135" i="2"/>
  <c r="DW97" i="2"/>
  <c r="DW131" i="2" s="1"/>
  <c r="BK97" i="2"/>
  <c r="CE75" i="2"/>
  <c r="DD75" i="2" s="1"/>
  <c r="I73" i="2"/>
  <c r="AG73" i="2"/>
  <c r="BF73" i="2" s="1"/>
  <c r="CE63" i="2"/>
  <c r="DD63" i="2" s="1"/>
  <c r="DG137" i="2"/>
  <c r="AG16" i="2"/>
  <c r="BF16" i="2" s="1"/>
  <c r="I16" i="2"/>
  <c r="DF97" i="2"/>
  <c r="AG65" i="2"/>
  <c r="BF65" i="2" s="1"/>
  <c r="DG77" i="2"/>
  <c r="DE77" i="2" s="1"/>
  <c r="BG12" i="2"/>
  <c r="DC131" i="2"/>
  <c r="K131" i="2"/>
  <c r="DN137" i="2"/>
  <c r="DN140" i="2" s="1"/>
  <c r="DN50" i="2"/>
  <c r="BG25" i="2"/>
  <c r="BG50" i="2" s="1"/>
  <c r="DH131" i="2"/>
  <c r="DH141" i="2" s="1"/>
  <c r="AJ131" i="2"/>
  <c r="I18" i="2"/>
  <c r="CE18" i="2"/>
  <c r="DD18" i="2" s="1"/>
  <c r="DE17" i="2"/>
  <c r="AG14" i="2"/>
  <c r="BF14" i="2" s="1"/>
  <c r="DN131" i="2"/>
  <c r="CC131" i="2"/>
  <c r="BU131" i="2"/>
  <c r="BM131" i="2"/>
  <c r="BX138" i="2"/>
  <c r="BX24" i="2"/>
  <c r="BX131" i="2" s="1"/>
  <c r="DE44" i="2"/>
  <c r="DP137" i="2"/>
  <c r="DP140" i="2" s="1"/>
  <c r="DP50" i="2"/>
  <c r="DP131" i="2" s="1"/>
  <c r="BL131" i="2"/>
  <c r="CE16" i="2"/>
  <c r="DD16" i="2" s="1"/>
  <c r="AG13" i="2"/>
  <c r="BF13" i="2" s="1"/>
  <c r="AL131" i="2"/>
  <c r="EB138" i="2"/>
  <c r="EB24" i="2"/>
  <c r="CD138" i="2"/>
  <c r="CD24" i="2"/>
  <c r="BI24" i="2"/>
  <c r="BG8" i="2"/>
  <c r="CF24" i="2"/>
  <c r="EF24" i="2" s="1"/>
  <c r="I121" i="2"/>
  <c r="CE121" i="2"/>
  <c r="DD121" i="2" s="1"/>
  <c r="AG121" i="2"/>
  <c r="BF121" i="2" s="1"/>
  <c r="BN134" i="2"/>
  <c r="BN140" i="2" s="1"/>
  <c r="DJ133" i="2"/>
  <c r="DJ140" i="2" s="1"/>
  <c r="DJ129" i="2"/>
  <c r="DJ131" i="2" s="1"/>
  <c r="CD129" i="2"/>
  <c r="CD133" i="2"/>
  <c r="BN129" i="2"/>
  <c r="BG118" i="2"/>
  <c r="DE115" i="2"/>
  <c r="CE114" i="2"/>
  <c r="DD114" i="2" s="1"/>
  <c r="BH133" i="2"/>
  <c r="BH129" i="2"/>
  <c r="BH131" i="2" s="1"/>
  <c r="BG98" i="2"/>
  <c r="CD135" i="2"/>
  <c r="DO129" i="2"/>
  <c r="DO131" i="2" s="1"/>
  <c r="DO141" i="2" s="1"/>
  <c r="AH134" i="2"/>
  <c r="AG103" i="2"/>
  <c r="BF103" i="2" s="1"/>
  <c r="AJ140" i="2"/>
  <c r="CE94" i="2"/>
  <c r="DD94" i="2" s="1"/>
  <c r="I94" i="2"/>
  <c r="AG128" i="2"/>
  <c r="BF128" i="2" s="1"/>
  <c r="AG119" i="2"/>
  <c r="BF119" i="2" s="1"/>
  <c r="DE101" i="2"/>
  <c r="AG96" i="2"/>
  <c r="BF96" i="2" s="1"/>
  <c r="DM137" i="2"/>
  <c r="DM50" i="2"/>
  <c r="DM131" i="2" s="1"/>
  <c r="CY131" i="2"/>
  <c r="I118" i="2"/>
  <c r="CE118" i="2"/>
  <c r="DD118" i="2" s="1"/>
  <c r="EB135" i="2"/>
  <c r="CE52" i="2"/>
  <c r="DD52" i="2" s="1"/>
  <c r="DT137" i="2"/>
  <c r="DT140" i="2" s="1"/>
  <c r="DT50" i="2"/>
  <c r="DT131" i="2" s="1"/>
  <c r="AT131" i="2"/>
  <c r="CX97" i="2"/>
  <c r="CX131" i="2" s="1"/>
  <c r="CA135" i="2"/>
  <c r="CA140" i="2" s="1"/>
  <c r="CA97" i="2"/>
  <c r="CA131" i="2" s="1"/>
  <c r="AG75" i="2"/>
  <c r="BF75" i="2" s="1"/>
  <c r="I77" i="2"/>
  <c r="CN137" i="2"/>
  <c r="BQ137" i="2"/>
  <c r="BQ140" i="2" s="1"/>
  <c r="BQ50" i="2"/>
  <c r="BQ131" i="2" s="1"/>
  <c r="AG90" i="2"/>
  <c r="BF90" i="2" s="1"/>
  <c r="AG68" i="2"/>
  <c r="BF68" i="2" s="1"/>
  <c r="BI77" i="2"/>
  <c r="DF135" i="2"/>
  <c r="AG62" i="2"/>
  <c r="BF62" i="2" s="1"/>
  <c r="CE56" i="2"/>
  <c r="DD56" i="2" s="1"/>
  <c r="DG139" i="2"/>
  <c r="M131" i="2"/>
  <c r="DS131" i="2"/>
  <c r="DS141" i="2" s="1"/>
  <c r="DK131" i="2"/>
  <c r="DK141" i="2" s="1"/>
  <c r="AG58" i="2"/>
  <c r="BF58" i="2" s="1"/>
  <c r="CB50" i="2"/>
  <c r="CB131" i="2" s="1"/>
  <c r="CE58" i="2"/>
  <c r="DD58" i="2" s="1"/>
  <c r="AG56" i="2"/>
  <c r="BF56" i="2" s="1"/>
  <c r="CE54" i="2"/>
  <c r="DD54" i="2" s="1"/>
  <c r="I49" i="2"/>
  <c r="CE49" i="2"/>
  <c r="DD49" i="2" s="1"/>
  <c r="AG49" i="2"/>
  <c r="BF49" i="2" s="1"/>
  <c r="CE36" i="2"/>
  <c r="DD36" i="2" s="1"/>
  <c r="BP137" i="2"/>
  <c r="BP50" i="2"/>
  <c r="BP131" i="2" s="1"/>
  <c r="BG17" i="2"/>
  <c r="CW131" i="2"/>
  <c r="G24" i="2"/>
  <c r="G131" i="2" s="1"/>
  <c r="AG33" i="2"/>
  <c r="BF33" i="2" s="1"/>
  <c r="BR137" i="2"/>
  <c r="BR50" i="2"/>
  <c r="BR131" i="2" s="1"/>
  <c r="AH137" i="2"/>
  <c r="CE13" i="2"/>
  <c r="DD13" i="2" s="1"/>
  <c r="BW131" i="2"/>
  <c r="BO131" i="2"/>
  <c r="BG6" i="2"/>
  <c r="BN131" i="2"/>
  <c r="AH136" i="2"/>
  <c r="DX138" i="1"/>
  <c r="AR141" i="1"/>
  <c r="CF134" i="1"/>
  <c r="BG108" i="1"/>
  <c r="BG118" i="1"/>
  <c r="DE115" i="1"/>
  <c r="BD141" i="1"/>
  <c r="CF129" i="1"/>
  <c r="BK133" i="1"/>
  <c r="BK140" i="1" s="1"/>
  <c r="DZ140" i="1"/>
  <c r="AM141" i="1"/>
  <c r="DE88" i="1"/>
  <c r="DV97" i="1"/>
  <c r="BM139" i="1"/>
  <c r="BM140" i="1" s="1"/>
  <c r="BX135" i="1"/>
  <c r="AI131" i="1"/>
  <c r="CL141" i="1"/>
  <c r="DQ50" i="1"/>
  <c r="R131" i="1"/>
  <c r="R141" i="1" s="1"/>
  <c r="Y131" i="1"/>
  <c r="Y141" i="1" s="1"/>
  <c r="BG45" i="1"/>
  <c r="BI137" i="1"/>
  <c r="AF131" i="1"/>
  <c r="AF141" i="1" s="1"/>
  <c r="BG13" i="1"/>
  <c r="CF138" i="1"/>
  <c r="AQ141" i="1"/>
  <c r="DM29" i="1"/>
  <c r="CM141" i="1"/>
  <c r="DW129" i="1"/>
  <c r="AG108" i="1"/>
  <c r="BF108" i="1" s="1"/>
  <c r="Q141" i="1"/>
  <c r="EB129" i="1"/>
  <c r="V141" i="1"/>
  <c r="CT141" i="1"/>
  <c r="BY138" i="1"/>
  <c r="CZ97" i="1"/>
  <c r="CZ131" i="1" s="1"/>
  <c r="BG63" i="1"/>
  <c r="AX141" i="1"/>
  <c r="BW131" i="1"/>
  <c r="S131" i="1"/>
  <c r="S141" i="1" s="1"/>
  <c r="BG47" i="1"/>
  <c r="DE43" i="1"/>
  <c r="BG38" i="1"/>
  <c r="EB137" i="1"/>
  <c r="DA141" i="1"/>
  <c r="BG105" i="1"/>
  <c r="AK141" i="1"/>
  <c r="BG102" i="1"/>
  <c r="DE95" i="1"/>
  <c r="J131" i="1"/>
  <c r="J141" i="1" s="1"/>
  <c r="AP141" i="1"/>
  <c r="AW131" i="1"/>
  <c r="AW141" i="1" s="1"/>
  <c r="AZ131" i="1"/>
  <c r="BL131" i="1"/>
  <c r="CU141" i="1"/>
  <c r="DE49" i="1"/>
  <c r="BG46" i="1"/>
  <c r="I76" i="1"/>
  <c r="AG76" i="1"/>
  <c r="BF76" i="1" s="1"/>
  <c r="P141" i="1"/>
  <c r="CE79" i="1"/>
  <c r="DD79" i="1" s="1"/>
  <c r="O141" i="1"/>
  <c r="AY141" i="1"/>
  <c r="BQ134" i="1"/>
  <c r="AC131" i="1"/>
  <c r="BG125" i="1"/>
  <c r="DW138" i="1"/>
  <c r="CA134" i="1"/>
  <c r="DO129" i="1"/>
  <c r="DR140" i="1"/>
  <c r="BB131" i="1"/>
  <c r="BB141" i="1" s="1"/>
  <c r="DE61" i="1"/>
  <c r="AN141" i="1"/>
  <c r="CD139" i="1"/>
  <c r="CX131" i="1"/>
  <c r="CX141" i="1" s="1"/>
  <c r="AD141" i="1"/>
  <c r="AS131" i="1"/>
  <c r="AS141" i="1" s="1"/>
  <c r="BY137" i="1"/>
  <c r="BC141" i="1"/>
  <c r="CN137" i="1"/>
  <c r="BS50" i="1"/>
  <c r="CV131" i="1"/>
  <c r="CV141" i="1" s="1"/>
  <c r="DV136" i="1"/>
  <c r="BG27" i="1"/>
  <c r="BS24" i="1"/>
  <c r="BT131" i="1"/>
  <c r="BT141" i="1" s="1"/>
  <c r="DE58" i="1"/>
  <c r="AG79" i="1"/>
  <c r="BF79" i="1" s="1"/>
  <c r="AO141" i="1"/>
  <c r="DB141" i="1"/>
  <c r="AC141" i="1"/>
  <c r="DV131" i="1"/>
  <c r="CB140" i="1"/>
  <c r="BL140" i="1"/>
  <c r="AG118" i="1"/>
  <c r="BF118" i="1" s="1"/>
  <c r="BG115" i="1"/>
  <c r="I100" i="1"/>
  <c r="BO129" i="1"/>
  <c r="I96" i="1"/>
  <c r="I91" i="1"/>
  <c r="I125" i="1"/>
  <c r="I120" i="1"/>
  <c r="EB134" i="1"/>
  <c r="BK134" i="1"/>
  <c r="S140" i="1"/>
  <c r="DN129" i="1"/>
  <c r="BN140" i="1"/>
  <c r="CE96" i="1"/>
  <c r="DD96" i="1" s="1"/>
  <c r="DW135" i="1"/>
  <c r="DW97" i="1"/>
  <c r="CD97" i="1"/>
  <c r="G97" i="1"/>
  <c r="I78" i="1"/>
  <c r="CE90" i="1"/>
  <c r="DD90" i="1" s="1"/>
  <c r="CG97" i="1"/>
  <c r="CG131" i="1" s="1"/>
  <c r="BY135" i="1"/>
  <c r="BY97" i="1"/>
  <c r="AG59" i="1"/>
  <c r="BF59" i="1" s="1"/>
  <c r="BI139" i="1"/>
  <c r="BI77" i="1"/>
  <c r="CF88" i="1"/>
  <c r="DI97" i="1"/>
  <c r="BX97" i="1"/>
  <c r="BH135" i="1"/>
  <c r="BH97" i="1"/>
  <c r="BG78" i="1"/>
  <c r="AG60" i="1"/>
  <c r="BF60" i="1" s="1"/>
  <c r="I60" i="1"/>
  <c r="DE60" i="1"/>
  <c r="I56" i="1"/>
  <c r="DG77" i="1"/>
  <c r="G77" i="1"/>
  <c r="I51" i="1"/>
  <c r="EB63" i="1"/>
  <c r="DE63" i="1" s="1"/>
  <c r="I53" i="1"/>
  <c r="AH139" i="1"/>
  <c r="AH77" i="1"/>
  <c r="AG51" i="1"/>
  <c r="BF51" i="1" s="1"/>
  <c r="CE44" i="1"/>
  <c r="DD44" i="1" s="1"/>
  <c r="BZ77" i="1"/>
  <c r="I47" i="1"/>
  <c r="AG43" i="1"/>
  <c r="BF43" i="1" s="1"/>
  <c r="DE36" i="1"/>
  <c r="I63" i="1"/>
  <c r="I55" i="1"/>
  <c r="CE53" i="1"/>
  <c r="DD53" i="1" s="1"/>
  <c r="I36" i="1"/>
  <c r="I28" i="1"/>
  <c r="DW137" i="1"/>
  <c r="DG137" i="1"/>
  <c r="CE28" i="1"/>
  <c r="DD28" i="1" s="1"/>
  <c r="DX137" i="1"/>
  <c r="DX140" i="1" s="1"/>
  <c r="BW137" i="1"/>
  <c r="BW140" i="1" s="1"/>
  <c r="BW141" i="1" s="1"/>
  <c r="BR131" i="1"/>
  <c r="CY131" i="1"/>
  <c r="CY141" i="1" s="1"/>
  <c r="DG136" i="1"/>
  <c r="CC138" i="1"/>
  <c r="CC140" i="1" s="1"/>
  <c r="DE29" i="1"/>
  <c r="DE25" i="1"/>
  <c r="BZ137" i="1"/>
  <c r="DZ131" i="1"/>
  <c r="DZ141" i="1" s="1"/>
  <c r="CW131" i="1"/>
  <c r="CW141" i="1" s="1"/>
  <c r="BE131" i="1"/>
  <c r="BE141" i="1" s="1"/>
  <c r="U131" i="1"/>
  <c r="U141" i="1" s="1"/>
  <c r="BX138" i="1"/>
  <c r="BX140" i="1" s="1"/>
  <c r="BX24" i="1"/>
  <c r="BG6" i="1"/>
  <c r="CJ131" i="1"/>
  <c r="CJ141" i="1" s="1"/>
  <c r="DQ136" i="1"/>
  <c r="DQ140" i="1" s="1"/>
  <c r="I7" i="1"/>
  <c r="AG7" i="1"/>
  <c r="BF7" i="1" s="1"/>
  <c r="CE7" i="1"/>
  <c r="DD7" i="1" s="1"/>
  <c r="DT131" i="1"/>
  <c r="DT141" i="1" s="1"/>
  <c r="DL131" i="1"/>
  <c r="DL141" i="1" s="1"/>
  <c r="DG138" i="1"/>
  <c r="DG24" i="1"/>
  <c r="AG28" i="1"/>
  <c r="BF28" i="1" s="1"/>
  <c r="CB50" i="1"/>
  <c r="CB131" i="1" s="1"/>
  <c r="CB141" i="1" s="1"/>
  <c r="AH137" i="1"/>
  <c r="AH50" i="1"/>
  <c r="AG25" i="1"/>
  <c r="BF25" i="1" s="1"/>
  <c r="AA131" i="1"/>
  <c r="AA141" i="1" s="1"/>
  <c r="BI136" i="1"/>
  <c r="BG136" i="1" s="1"/>
  <c r="BI24" i="1"/>
  <c r="DE23" i="1"/>
  <c r="BG14" i="1"/>
  <c r="BO50" i="1"/>
  <c r="CE124" i="1"/>
  <c r="DD124" i="1" s="1"/>
  <c r="AG123" i="1"/>
  <c r="BF123" i="1" s="1"/>
  <c r="BY129" i="1"/>
  <c r="AG122" i="1"/>
  <c r="BF122" i="1" s="1"/>
  <c r="CE117" i="1"/>
  <c r="DD117" i="1" s="1"/>
  <c r="CF133" i="1"/>
  <c r="AE140" i="1"/>
  <c r="CE85" i="1"/>
  <c r="DD85" i="1" s="1"/>
  <c r="EA129" i="1"/>
  <c r="EA131" i="1" s="1"/>
  <c r="DS133" i="1"/>
  <c r="DS140" i="1" s="1"/>
  <c r="DS129" i="1"/>
  <c r="I87" i="1"/>
  <c r="AG80" i="1"/>
  <c r="BF80" i="1" s="1"/>
  <c r="CD134" i="1"/>
  <c r="DV140" i="1"/>
  <c r="I85" i="1"/>
  <c r="I68" i="1"/>
  <c r="BO134" i="1"/>
  <c r="BG94" i="1"/>
  <c r="CG135" i="1"/>
  <c r="CG140" i="1" s="1"/>
  <c r="I71" i="1"/>
  <c r="CE66" i="1"/>
  <c r="DD66" i="1" s="1"/>
  <c r="CE95" i="1"/>
  <c r="DD95" i="1" s="1"/>
  <c r="CE91" i="1"/>
  <c r="DD91" i="1" s="1"/>
  <c r="BG103" i="1"/>
  <c r="AG96" i="1"/>
  <c r="BF96" i="1" s="1"/>
  <c r="BG89" i="1"/>
  <c r="BK97" i="1"/>
  <c r="I75" i="1"/>
  <c r="I52" i="1"/>
  <c r="AG62" i="1"/>
  <c r="BF62" i="1" s="1"/>
  <c r="DG139" i="1"/>
  <c r="BY139" i="1"/>
  <c r="BY140" i="1" s="1"/>
  <c r="BY77" i="1"/>
  <c r="AG34" i="1"/>
  <c r="BF34" i="1" s="1"/>
  <c r="CE75" i="1"/>
  <c r="DD75" i="1" s="1"/>
  <c r="I62" i="1"/>
  <c r="CE62" i="1"/>
  <c r="DD62" i="1" s="1"/>
  <c r="AG44" i="1"/>
  <c r="BF44" i="1" s="1"/>
  <c r="CE78" i="1"/>
  <c r="DD78" i="1" s="1"/>
  <c r="CE69" i="1"/>
  <c r="DD69" i="1" s="1"/>
  <c r="BZ139" i="1"/>
  <c r="CE42" i="1"/>
  <c r="DD42" i="1" s="1"/>
  <c r="I35" i="1"/>
  <c r="DE83" i="1"/>
  <c r="CE68" i="1"/>
  <c r="DD68" i="1" s="1"/>
  <c r="DE66" i="1"/>
  <c r="I57" i="1"/>
  <c r="CE43" i="1"/>
  <c r="DD43" i="1" s="1"/>
  <c r="CE35" i="1"/>
  <c r="DD35" i="1" s="1"/>
  <c r="BQ137" i="1"/>
  <c r="BQ140" i="1" s="1"/>
  <c r="BQ50" i="1"/>
  <c r="BQ131" i="1" s="1"/>
  <c r="EB50" i="1"/>
  <c r="CH131" i="1"/>
  <c r="AT131" i="1"/>
  <c r="AT141" i="1" s="1"/>
  <c r="BI138" i="1"/>
  <c r="CE46" i="1"/>
  <c r="DD46" i="1" s="1"/>
  <c r="CD50" i="1"/>
  <c r="G50" i="1"/>
  <c r="I25" i="1"/>
  <c r="DR131" i="1"/>
  <c r="DR141" i="1" s="1"/>
  <c r="CO141" i="1"/>
  <c r="BU131" i="1"/>
  <c r="BU141" i="1" s="1"/>
  <c r="BA131" i="1"/>
  <c r="BA141" i="1" s="1"/>
  <c r="CE13" i="1"/>
  <c r="DD13" i="1" s="1"/>
  <c r="AJ131" i="1"/>
  <c r="AJ141" i="1" s="1"/>
  <c r="CE17" i="1"/>
  <c r="DD17" i="1" s="1"/>
  <c r="I9" i="1"/>
  <c r="EB138" i="1"/>
  <c r="EB24" i="1"/>
  <c r="BG62" i="1"/>
  <c r="BG36" i="1"/>
  <c r="I29" i="1"/>
  <c r="CE22" i="1"/>
  <c r="DD22" i="1" s="1"/>
  <c r="CE29" i="1"/>
  <c r="DD29" i="1" s="1"/>
  <c r="DE17" i="1"/>
  <c r="CE15" i="1"/>
  <c r="DD15" i="1" s="1"/>
  <c r="BO137" i="1"/>
  <c r="BO140" i="1" s="1"/>
  <c r="CE128" i="1"/>
  <c r="DD128" i="1" s="1"/>
  <c r="DE105" i="1"/>
  <c r="BG101" i="1"/>
  <c r="DK140" i="1"/>
  <c r="AZ140" i="1"/>
  <c r="AZ141" i="1" s="1"/>
  <c r="DN133" i="1"/>
  <c r="G129" i="1"/>
  <c r="I98" i="1"/>
  <c r="CE94" i="1"/>
  <c r="DD94" i="1" s="1"/>
  <c r="I94" i="1"/>
  <c r="AG94" i="1"/>
  <c r="BF94" i="1" s="1"/>
  <c r="AG92" i="1"/>
  <c r="BF92" i="1" s="1"/>
  <c r="CE126" i="1"/>
  <c r="DD126" i="1" s="1"/>
  <c r="AG126" i="1"/>
  <c r="BF126" i="1" s="1"/>
  <c r="DE124" i="1"/>
  <c r="CE106" i="1"/>
  <c r="DD106" i="1" s="1"/>
  <c r="AG105" i="1"/>
  <c r="BF105" i="1" s="1"/>
  <c r="BI129" i="1"/>
  <c r="DE103" i="1"/>
  <c r="DG134" i="1"/>
  <c r="DQ129" i="1"/>
  <c r="DQ131" i="1" s="1"/>
  <c r="DI129" i="1"/>
  <c r="CC129" i="1"/>
  <c r="CC131" i="1" s="1"/>
  <c r="BG95" i="1"/>
  <c r="I126" i="1"/>
  <c r="AG124" i="1"/>
  <c r="BF124" i="1" s="1"/>
  <c r="BG109" i="1"/>
  <c r="AH134" i="1"/>
  <c r="AG103" i="1"/>
  <c r="BF103" i="1" s="1"/>
  <c r="BH129" i="1"/>
  <c r="BH133" i="1"/>
  <c r="BG98" i="1"/>
  <c r="AI140" i="1"/>
  <c r="AI141" i="1" s="1"/>
  <c r="DE89" i="1"/>
  <c r="CE125" i="1"/>
  <c r="DD125" i="1" s="1"/>
  <c r="AG120" i="1"/>
  <c r="BF120" i="1" s="1"/>
  <c r="I117" i="1"/>
  <c r="I114" i="1"/>
  <c r="I103" i="1"/>
  <c r="EA140" i="1"/>
  <c r="DG129" i="1"/>
  <c r="BS129" i="1"/>
  <c r="BS131" i="1" s="1"/>
  <c r="I95" i="1"/>
  <c r="AG85" i="1"/>
  <c r="BF85" i="1" s="1"/>
  <c r="DE120" i="1"/>
  <c r="CE103" i="1"/>
  <c r="DD103" i="1" s="1"/>
  <c r="DJ133" i="1"/>
  <c r="DJ140" i="1" s="1"/>
  <c r="DJ129" i="1"/>
  <c r="DJ131" i="1" s="1"/>
  <c r="DJ141" i="1" s="1"/>
  <c r="CD133" i="1"/>
  <c r="CD129" i="1"/>
  <c r="BR140" i="1"/>
  <c r="BJ140" i="1"/>
  <c r="CE93" i="1"/>
  <c r="DD93" i="1" s="1"/>
  <c r="CE92" i="1"/>
  <c r="DD92" i="1" s="1"/>
  <c r="I92" i="1"/>
  <c r="AG89" i="1"/>
  <c r="BF89" i="1" s="1"/>
  <c r="EB133" i="1"/>
  <c r="EB97" i="1"/>
  <c r="DY135" i="1"/>
  <c r="DY140" i="1" s="1"/>
  <c r="DY97" i="1"/>
  <c r="DY131" i="1" s="1"/>
  <c r="BJ97" i="1"/>
  <c r="BK129" i="1"/>
  <c r="AG91" i="1"/>
  <c r="BF91" i="1" s="1"/>
  <c r="I69" i="1"/>
  <c r="CE98" i="1"/>
  <c r="DD98" i="1" s="1"/>
  <c r="BV140" i="1"/>
  <c r="BI134" i="1"/>
  <c r="DE85" i="1"/>
  <c r="DH135" i="1"/>
  <c r="DH140" i="1" s="1"/>
  <c r="CE70" i="1"/>
  <c r="DD70" i="1" s="1"/>
  <c r="CE61" i="1"/>
  <c r="DD61" i="1" s="1"/>
  <c r="I61" i="1"/>
  <c r="EB139" i="1"/>
  <c r="EB77" i="1"/>
  <c r="AG75" i="1"/>
  <c r="BF75" i="1" s="1"/>
  <c r="CE71" i="1"/>
  <c r="DD71" i="1" s="1"/>
  <c r="CE63" i="1"/>
  <c r="DD63" i="1" s="1"/>
  <c r="DK77" i="1"/>
  <c r="DK131" i="1" s="1"/>
  <c r="DK141" i="1" s="1"/>
  <c r="DW139" i="1"/>
  <c r="DW77" i="1"/>
  <c r="DW131" i="1" s="1"/>
  <c r="BP137" i="1"/>
  <c r="BP140" i="1" s="1"/>
  <c r="BP50" i="1"/>
  <c r="BP131" i="1" s="1"/>
  <c r="AG71" i="1"/>
  <c r="BF71" i="1" s="1"/>
  <c r="CE57" i="1"/>
  <c r="DD57" i="1" s="1"/>
  <c r="CE52" i="1"/>
  <c r="DD52" i="1" s="1"/>
  <c r="BY50" i="1"/>
  <c r="BY131" i="1" s="1"/>
  <c r="BY141" i="1" s="1"/>
  <c r="DU77" i="1"/>
  <c r="CD77" i="1"/>
  <c r="I49" i="1"/>
  <c r="I44" i="1"/>
  <c r="CE34" i="1"/>
  <c r="DD34" i="1" s="1"/>
  <c r="CA97" i="1"/>
  <c r="CA131" i="1" s="1"/>
  <c r="DC77" i="1"/>
  <c r="DC131" i="1" s="1"/>
  <c r="I45" i="1"/>
  <c r="CE41" i="1"/>
  <c r="DD41" i="1" s="1"/>
  <c r="CE39" i="1"/>
  <c r="DD39" i="1" s="1"/>
  <c r="CE37" i="1"/>
  <c r="DD37" i="1" s="1"/>
  <c r="I27" i="1"/>
  <c r="DO137" i="1"/>
  <c r="DO140" i="1" s="1"/>
  <c r="DO50" i="1"/>
  <c r="DO131" i="1" s="1"/>
  <c r="BZ131" i="1"/>
  <c r="BJ131" i="1"/>
  <c r="AG17" i="1"/>
  <c r="BF17" i="1" s="1"/>
  <c r="DE51" i="1"/>
  <c r="AG37" i="1"/>
  <c r="BF37" i="1" s="1"/>
  <c r="M131" i="1"/>
  <c r="M141" i="1" s="1"/>
  <c r="BG12" i="1"/>
  <c r="CF24" i="1"/>
  <c r="CE6" i="1"/>
  <c r="DD6" i="1" s="1"/>
  <c r="CD138" i="1"/>
  <c r="CD24" i="1"/>
  <c r="AG52" i="1"/>
  <c r="BF52" i="1" s="1"/>
  <c r="CR131" i="1"/>
  <c r="CR141" i="1" s="1"/>
  <c r="AB131" i="1"/>
  <c r="AB141" i="1" s="1"/>
  <c r="DE12" i="1"/>
  <c r="AG8" i="1"/>
  <c r="BF8" i="1" s="1"/>
  <c r="DP131" i="1"/>
  <c r="DP141" i="1" s="1"/>
  <c r="DH131" i="1"/>
  <c r="BS138" i="1"/>
  <c r="BS140" i="1" s="1"/>
  <c r="DS131" i="1"/>
  <c r="CE49" i="1"/>
  <c r="DD49" i="1" s="1"/>
  <c r="DM37" i="1"/>
  <c r="DE37" i="1" s="1"/>
  <c r="BG29" i="1"/>
  <c r="CF27" i="1"/>
  <c r="DM27" i="1"/>
  <c r="DE27" i="1" s="1"/>
  <c r="BG26" i="1"/>
  <c r="K131" i="1"/>
  <c r="K141" i="1" s="1"/>
  <c r="AG15" i="1"/>
  <c r="BF15" i="1" s="1"/>
  <c r="I13" i="1"/>
  <c r="BG10" i="1"/>
  <c r="I115" i="1"/>
  <c r="I118" i="1"/>
  <c r="I116" i="1"/>
  <c r="CE115" i="1"/>
  <c r="DD115" i="1" s="1"/>
  <c r="CH140" i="1"/>
  <c r="I124" i="1"/>
  <c r="CE114" i="1"/>
  <c r="DD114" i="1" s="1"/>
  <c r="BG134" i="1"/>
  <c r="DU140" i="1"/>
  <c r="DE126" i="1"/>
  <c r="BG114" i="1"/>
  <c r="I108" i="1"/>
  <c r="DX129" i="1"/>
  <c r="DX131" i="1" s="1"/>
  <c r="CF89" i="1"/>
  <c r="CF97" i="1" s="1"/>
  <c r="CE116" i="1"/>
  <c r="DD116" i="1" s="1"/>
  <c r="AG115" i="1"/>
  <c r="BF115" i="1" s="1"/>
  <c r="I102" i="1"/>
  <c r="K140" i="1"/>
  <c r="CA140" i="1"/>
  <c r="DF96" i="1"/>
  <c r="DE96" i="1" s="1"/>
  <c r="I93" i="1"/>
  <c r="I107" i="1"/>
  <c r="DI134" i="1"/>
  <c r="DI140" i="1" s="1"/>
  <c r="DF133" i="1"/>
  <c r="DF129" i="1"/>
  <c r="DE98" i="1"/>
  <c r="BN129" i="1"/>
  <c r="BN131" i="1" s="1"/>
  <c r="BN141" i="1" s="1"/>
  <c r="CE100" i="1"/>
  <c r="DD100" i="1" s="1"/>
  <c r="CZ135" i="1"/>
  <c r="CZ140" i="1" s="1"/>
  <c r="CZ141" i="1" s="1"/>
  <c r="DE78" i="1"/>
  <c r="CE59" i="1"/>
  <c r="DD59" i="1" s="1"/>
  <c r="AG102" i="1"/>
  <c r="BF102" i="1" s="1"/>
  <c r="CE102" i="1"/>
  <c r="DD102" i="1" s="1"/>
  <c r="AG100" i="1"/>
  <c r="BF100" i="1" s="1"/>
  <c r="AH129" i="1"/>
  <c r="CE87" i="1"/>
  <c r="DD87" i="1" s="1"/>
  <c r="AH135" i="1"/>
  <c r="AH97" i="1"/>
  <c r="AG78" i="1"/>
  <c r="BF78" i="1" s="1"/>
  <c r="CE74" i="1"/>
  <c r="DD74" i="1" s="1"/>
  <c r="I74" i="1"/>
  <c r="CE72" i="1"/>
  <c r="DD72" i="1" s="1"/>
  <c r="I72" i="1"/>
  <c r="CE60" i="1"/>
  <c r="DD60" i="1" s="1"/>
  <c r="I39" i="1"/>
  <c r="DN137" i="1"/>
  <c r="DN50" i="1"/>
  <c r="DN131" i="1" s="1"/>
  <c r="CQ141" i="1"/>
  <c r="AG56" i="1"/>
  <c r="BF56" i="1" s="1"/>
  <c r="CF77" i="1"/>
  <c r="CE56" i="1"/>
  <c r="DD56" i="1" s="1"/>
  <c r="BG51" i="1"/>
  <c r="BG77" i="1" s="1"/>
  <c r="CE33" i="1"/>
  <c r="DD33" i="1" s="1"/>
  <c r="I33" i="1"/>
  <c r="DC139" i="1"/>
  <c r="CF139" i="1" s="1"/>
  <c r="DG50" i="1"/>
  <c r="I43" i="1"/>
  <c r="AG47" i="1"/>
  <c r="BF47" i="1" s="1"/>
  <c r="DU131" i="1"/>
  <c r="CP141" i="1"/>
  <c r="BV131" i="1"/>
  <c r="AL131" i="1"/>
  <c r="AL141" i="1" s="1"/>
  <c r="AG33" i="1"/>
  <c r="BF33" i="1" s="1"/>
  <c r="BM131" i="1"/>
  <c r="AG13" i="1"/>
  <c r="BF13" i="1" s="1"/>
  <c r="CE9" i="1"/>
  <c r="DD9" i="1" s="1"/>
  <c r="H137" i="1"/>
  <c r="H135" i="1"/>
  <c r="G133" i="1"/>
  <c r="AG133" i="1" s="1"/>
  <c r="BF133" i="1" s="1"/>
  <c r="I6" i="1"/>
  <c r="G24" i="1"/>
  <c r="H138" i="1" s="1"/>
  <c r="CE55" i="1"/>
  <c r="DD55" i="1" s="1"/>
  <c r="CF50" i="1"/>
  <c r="CE25" i="1"/>
  <c r="BG25" i="1"/>
  <c r="BG50" i="1" s="1"/>
  <c r="X141" i="1"/>
  <c r="CE18" i="1"/>
  <c r="DD18" i="1" s="1"/>
  <c r="I18" i="1"/>
  <c r="AG18" i="1"/>
  <c r="BF18" i="1" s="1"/>
  <c r="AH138" i="1"/>
  <c r="AH24" i="1"/>
  <c r="AG6" i="1"/>
  <c r="BF6" i="1" s="1"/>
  <c r="CE38" i="1"/>
  <c r="DD38" i="1" s="1"/>
  <c r="I38" i="1"/>
  <c r="CE36" i="1"/>
  <c r="DD36" i="1" s="1"/>
  <c r="AE131" i="1"/>
  <c r="AE141" i="1" s="1"/>
  <c r="DI24" i="1"/>
  <c r="DI131" i="1" s="1"/>
  <c r="AG9" i="1"/>
  <c r="BF9" i="1" s="1"/>
  <c r="BK24" i="1"/>
  <c r="BK131" i="1" l="1"/>
  <c r="BK141" i="1" s="1"/>
  <c r="BV141" i="1"/>
  <c r="DS141" i="1"/>
  <c r="DE138" i="2"/>
  <c r="DF131" i="2"/>
  <c r="BV131" i="2"/>
  <c r="BL141" i="1"/>
  <c r="CE43" i="2"/>
  <c r="DD43" i="2" s="1"/>
  <c r="EF43" i="2"/>
  <c r="DP141" i="2"/>
  <c r="CE97" i="2"/>
  <c r="CE77" i="2"/>
  <c r="DT141" i="2"/>
  <c r="BI140" i="2"/>
  <c r="DY141" i="2"/>
  <c r="DE139" i="2"/>
  <c r="DJ141" i="2"/>
  <c r="DQ141" i="1"/>
  <c r="DE139" i="1"/>
  <c r="BX131" i="1"/>
  <c r="DE134" i="1"/>
  <c r="BJ141" i="1"/>
  <c r="BG24" i="2"/>
  <c r="BY140" i="2"/>
  <c r="BZ140" i="1"/>
  <c r="DX140" i="2"/>
  <c r="BG136" i="2"/>
  <c r="BI131" i="2"/>
  <c r="CD131" i="2"/>
  <c r="BG138" i="2"/>
  <c r="DG140" i="2"/>
  <c r="DE97" i="2"/>
  <c r="BG137" i="2"/>
  <c r="CE129" i="2"/>
  <c r="BV140" i="2"/>
  <c r="BX140" i="2"/>
  <c r="BG139" i="2"/>
  <c r="DI131" i="2"/>
  <c r="DC140" i="2"/>
  <c r="G136" i="2"/>
  <c r="H139" i="2"/>
  <c r="I97" i="2"/>
  <c r="BG135" i="2"/>
  <c r="I129" i="2"/>
  <c r="I50" i="2"/>
  <c r="G138" i="2"/>
  <c r="H138" i="2"/>
  <c r="AH140" i="2"/>
  <c r="BP140" i="2"/>
  <c r="BG134" i="2"/>
  <c r="DV141" i="2"/>
  <c r="H136" i="2"/>
  <c r="CN140" i="2"/>
  <c r="CF137" i="2"/>
  <c r="BG129" i="2"/>
  <c r="G139" i="2"/>
  <c r="G134" i="2"/>
  <c r="I24" i="2"/>
  <c r="I139" i="2" s="1"/>
  <c r="BR140" i="2"/>
  <c r="DM140" i="2"/>
  <c r="DM141" i="2" s="1"/>
  <c r="BK131" i="2"/>
  <c r="H135" i="2"/>
  <c r="DE129" i="2"/>
  <c r="DZ137" i="2"/>
  <c r="DZ140" i="2" s="1"/>
  <c r="DZ50" i="2"/>
  <c r="DZ131" i="2" s="1"/>
  <c r="G137" i="2"/>
  <c r="DW140" i="2"/>
  <c r="DW141" i="2" s="1"/>
  <c r="I133" i="2"/>
  <c r="DE135" i="2"/>
  <c r="CD140" i="2"/>
  <c r="CE24" i="2"/>
  <c r="H137" i="2"/>
  <c r="DI140" i="2"/>
  <c r="H134" i="2"/>
  <c r="DX141" i="2"/>
  <c r="DE35" i="2"/>
  <c r="DE24" i="2"/>
  <c r="CX140" i="2"/>
  <c r="DF140" i="2"/>
  <c r="DF141" i="2" s="1"/>
  <c r="DE133" i="2"/>
  <c r="EA131" i="2"/>
  <c r="EA141" i="2" s="1"/>
  <c r="DQ141" i="2"/>
  <c r="DE134" i="2"/>
  <c r="EB137" i="2"/>
  <c r="EB140" i="2" s="1"/>
  <c r="BG131" i="2"/>
  <c r="G135" i="2"/>
  <c r="BH140" i="2"/>
  <c r="BG133" i="2"/>
  <c r="EB131" i="2"/>
  <c r="I135" i="2"/>
  <c r="DN141" i="2"/>
  <c r="G133" i="2"/>
  <c r="EE134" i="2" s="1"/>
  <c r="CE27" i="2"/>
  <c r="CF50" i="2"/>
  <c r="DG131" i="2"/>
  <c r="DG141" i="2" s="1"/>
  <c r="AG77" i="2"/>
  <c r="BF77" i="2" s="1"/>
  <c r="AH131" i="2"/>
  <c r="AG24" i="2"/>
  <c r="BF24" i="2" s="1"/>
  <c r="H133" i="2"/>
  <c r="DE43" i="2"/>
  <c r="DF97" i="1"/>
  <c r="DF131" i="1" s="1"/>
  <c r="DE136" i="1"/>
  <c r="DU141" i="1"/>
  <c r="DC140" i="1"/>
  <c r="DC141" i="1" s="1"/>
  <c r="DF135" i="1"/>
  <c r="DE135" i="1" s="1"/>
  <c r="DG140" i="1"/>
  <c r="DO141" i="1"/>
  <c r="CA141" i="1"/>
  <c r="CD140" i="1"/>
  <c r="BG137" i="1"/>
  <c r="BI140" i="1"/>
  <c r="DY141" i="1"/>
  <c r="CF137" i="1"/>
  <c r="CN140" i="1"/>
  <c r="CN141" i="1" s="1"/>
  <c r="BM141" i="1"/>
  <c r="BG138" i="1"/>
  <c r="BH131" i="1"/>
  <c r="DW140" i="1"/>
  <c r="DW141" i="1" s="1"/>
  <c r="DX141" i="1"/>
  <c r="CC141" i="1"/>
  <c r="BS141" i="1"/>
  <c r="G139" i="1"/>
  <c r="CE97" i="1"/>
  <c r="DD97" i="1" s="1"/>
  <c r="DE97" i="1"/>
  <c r="DE133" i="1"/>
  <c r="CE27" i="1"/>
  <c r="DD27" i="1" s="1"/>
  <c r="BH140" i="1"/>
  <c r="BG133" i="1"/>
  <c r="I129" i="1"/>
  <c r="DE24" i="1"/>
  <c r="CH141" i="1"/>
  <c r="CE133" i="1"/>
  <c r="DD133" i="1" s="1"/>
  <c r="EA141" i="1"/>
  <c r="BG24" i="1"/>
  <c r="DM137" i="1"/>
  <c r="CE88" i="1"/>
  <c r="DD88" i="1" s="1"/>
  <c r="G131" i="1"/>
  <c r="H133" i="1"/>
  <c r="H139" i="1"/>
  <c r="CE77" i="1"/>
  <c r="DD77" i="1" s="1"/>
  <c r="AG129" i="1"/>
  <c r="BF129" i="1" s="1"/>
  <c r="EB140" i="1"/>
  <c r="EB131" i="1"/>
  <c r="BG139" i="1"/>
  <c r="AG50" i="1"/>
  <c r="BF50" i="1" s="1"/>
  <c r="DG131" i="1"/>
  <c r="DG141" i="1" s="1"/>
  <c r="BR141" i="1"/>
  <c r="DE77" i="1"/>
  <c r="BG135" i="1"/>
  <c r="AH131" i="1"/>
  <c r="AG24" i="1"/>
  <c r="BF24" i="1" s="1"/>
  <c r="CE50" i="1"/>
  <c r="DD25" i="1"/>
  <c r="DD50" i="1" s="1"/>
  <c r="G135" i="1"/>
  <c r="AG135" i="1" s="1"/>
  <c r="BF135" i="1" s="1"/>
  <c r="I24" i="1"/>
  <c r="H136" i="1"/>
  <c r="G137" i="1"/>
  <c r="AG137" i="1" s="1"/>
  <c r="BF137" i="1" s="1"/>
  <c r="AG97" i="1"/>
  <c r="BF97" i="1" s="1"/>
  <c r="DE129" i="1"/>
  <c r="CE89" i="1"/>
  <c r="DD89" i="1" s="1"/>
  <c r="DH141" i="1"/>
  <c r="CD131" i="1"/>
  <c r="CD141" i="1" s="1"/>
  <c r="BQ141" i="1"/>
  <c r="BI131" i="1"/>
  <c r="BI141" i="1" s="1"/>
  <c r="DE138" i="1"/>
  <c r="BX141" i="1"/>
  <c r="DE50" i="1"/>
  <c r="I77" i="1"/>
  <c r="AH140" i="1"/>
  <c r="I97" i="1"/>
  <c r="CE129" i="1"/>
  <c r="DD129" i="1" s="1"/>
  <c r="DI141" i="1"/>
  <c r="H134" i="1"/>
  <c r="G134" i="1"/>
  <c r="AG134" i="1" s="1"/>
  <c r="BF134" i="1" s="1"/>
  <c r="G136" i="1"/>
  <c r="G138" i="1"/>
  <c r="CF131" i="1"/>
  <c r="CE24" i="1"/>
  <c r="DD24" i="1" s="1"/>
  <c r="BZ141" i="1"/>
  <c r="BP141" i="1"/>
  <c r="BG129" i="1"/>
  <c r="DN140" i="1"/>
  <c r="DN141" i="1" s="1"/>
  <c r="I50" i="1"/>
  <c r="I137" i="1" s="1"/>
  <c r="CF135" i="1"/>
  <c r="CF140" i="1" s="1"/>
  <c r="BO131" i="1"/>
  <c r="BO141" i="1" s="1"/>
  <c r="DM50" i="1"/>
  <c r="DM131" i="1" s="1"/>
  <c r="AG77" i="1"/>
  <c r="BF77" i="1" s="1"/>
  <c r="BG97" i="1"/>
  <c r="CG141" i="1"/>
  <c r="DV141" i="1"/>
  <c r="CF140" i="2" l="1"/>
  <c r="EF138" i="2"/>
  <c r="EF142" i="2" s="1"/>
  <c r="DD129" i="2"/>
  <c r="EG129" i="2"/>
  <c r="CF131" i="2"/>
  <c r="EF50" i="2"/>
  <c r="EF131" i="2" s="1"/>
  <c r="CE50" i="2"/>
  <c r="DD77" i="2"/>
  <c r="EG77" i="2"/>
  <c r="BH141" i="1"/>
  <c r="DD24" i="2"/>
  <c r="EG24" i="2"/>
  <c r="DD97" i="2"/>
  <c r="EG97" i="2"/>
  <c r="AG134" i="2"/>
  <c r="BF134" i="2" s="1"/>
  <c r="EE135" i="2"/>
  <c r="CE139" i="2"/>
  <c r="EE140" i="2"/>
  <c r="CE136" i="2"/>
  <c r="EE137" i="2"/>
  <c r="CE133" i="2"/>
  <c r="EG134" i="2" s="1"/>
  <c r="CE135" i="2"/>
  <c r="EE136" i="2"/>
  <c r="AG137" i="2"/>
  <c r="BF137" i="2" s="1"/>
  <c r="EE138" i="2"/>
  <c r="CE138" i="2"/>
  <c r="EE139" i="2"/>
  <c r="DF140" i="1"/>
  <c r="DF141" i="1" s="1"/>
  <c r="AG138" i="2"/>
  <c r="BF138" i="2" s="1"/>
  <c r="DI141" i="2"/>
  <c r="H140" i="2"/>
  <c r="DE50" i="2"/>
  <c r="DZ141" i="2"/>
  <c r="I134" i="2"/>
  <c r="AG135" i="2"/>
  <c r="BF135" i="2" s="1"/>
  <c r="CE131" i="2"/>
  <c r="EG131" i="2" s="1"/>
  <c r="DE131" i="2"/>
  <c r="I138" i="2"/>
  <c r="AG131" i="2"/>
  <c r="BF131" i="2" s="1"/>
  <c r="DD27" i="2"/>
  <c r="BG140" i="2"/>
  <c r="CE134" i="2"/>
  <c r="DE137" i="2"/>
  <c r="DE140" i="2" s="1"/>
  <c r="EB141" i="2"/>
  <c r="G140" i="2"/>
  <c r="I136" i="2"/>
  <c r="I131" i="2"/>
  <c r="I137" i="2"/>
  <c r="AG136" i="2"/>
  <c r="BF136" i="2" s="1"/>
  <c r="AG133" i="2"/>
  <c r="BF133" i="2" s="1"/>
  <c r="AG139" i="2"/>
  <c r="BF139" i="2" s="1"/>
  <c r="CE137" i="2"/>
  <c r="I139" i="1"/>
  <c r="I133" i="1"/>
  <c r="CE136" i="1"/>
  <c r="DD136" i="1" s="1"/>
  <c r="AG136" i="1"/>
  <c r="BF136" i="1" s="1"/>
  <c r="CE137" i="1"/>
  <c r="DD137" i="1" s="1"/>
  <c r="CE139" i="1"/>
  <c r="DD139" i="1" s="1"/>
  <c r="AG139" i="1"/>
  <c r="BF139" i="1" s="1"/>
  <c r="CE135" i="1"/>
  <c r="DD135" i="1" s="1"/>
  <c r="CE134" i="1"/>
  <c r="DD134" i="1" s="1"/>
  <c r="I136" i="1"/>
  <c r="I131" i="1"/>
  <c r="CF141" i="1"/>
  <c r="CE131" i="1"/>
  <c r="I138" i="1"/>
  <c r="AH141" i="1"/>
  <c r="AG131" i="1"/>
  <c r="BF131" i="1" s="1"/>
  <c r="EB141" i="1"/>
  <c r="DE137" i="1"/>
  <c r="DM140" i="1"/>
  <c r="DE131" i="1"/>
  <c r="BG140" i="1"/>
  <c r="I135" i="1"/>
  <c r="DM141" i="1"/>
  <c r="CE138" i="1"/>
  <c r="DD138" i="1" s="1"/>
  <c r="G140" i="1"/>
  <c r="I134" i="1"/>
  <c r="AG138" i="1"/>
  <c r="BF138" i="1" s="1"/>
  <c r="H140" i="1"/>
  <c r="H141" i="1" s="1"/>
  <c r="BG131" i="1"/>
  <c r="BG141" i="1" s="1"/>
  <c r="DE140" i="1"/>
  <c r="EG50" i="2" l="1"/>
  <c r="DD50" i="2"/>
  <c r="EE142" i="2"/>
  <c r="DD134" i="2"/>
  <c r="EG135" i="2"/>
  <c r="DD137" i="2"/>
  <c r="EG138" i="2"/>
  <c r="DD133" i="2"/>
  <c r="DD139" i="2"/>
  <c r="EG140" i="2"/>
  <c r="DD138" i="2"/>
  <c r="EG139" i="2"/>
  <c r="DD135" i="2"/>
  <c r="EG136" i="2"/>
  <c r="DD136" i="2"/>
  <c r="EG137" i="2"/>
  <c r="I140" i="1"/>
  <c r="I141" i="1" s="1"/>
  <c r="I140" i="2"/>
  <c r="DD131" i="2"/>
  <c r="AG140" i="2"/>
  <c r="BF140" i="2" s="1"/>
  <c r="CE140" i="2"/>
  <c r="DE141" i="1"/>
  <c r="AG140" i="1"/>
  <c r="BF140" i="1" s="1"/>
  <c r="CE140" i="1"/>
  <c r="DD140" i="1" s="1"/>
  <c r="DD131" i="1"/>
  <c r="G141" i="1"/>
  <c r="DD140" i="2" l="1"/>
  <c r="EG142" i="2"/>
  <c r="DD141" i="1"/>
  <c r="CE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sharedStrings.xml><?xml version="1.0" encoding="utf-8"?>
<sst xmlns="http://schemas.openxmlformats.org/spreadsheetml/2006/main" count="1130" uniqueCount="413">
  <si>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</si>
  <si>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</si>
  <si>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</si>
  <si>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</si>
  <si>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</si>
  <si>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</si>
  <si>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</si>
  <si>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</si>
  <si>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</si>
  <si>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</si>
  <si>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</si>
  <si>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</si>
  <si>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</si>
  <si>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</si>
  <si>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</si>
  <si>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</si>
  <si>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</si>
  <si>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</si>
  <si>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</si>
  <si>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</si>
  <si>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</si>
  <si>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</si>
  <si>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</si>
  <si>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</si>
  <si>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</si>
  <si>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</si>
  <si>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</si>
  <si>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</si>
  <si>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</si>
  <si>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</si>
  <si>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</si>
  <si>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</si>
  <si>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</si>
  <si>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</si>
  <si>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</si>
  <si>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</si>
  <si>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</si>
  <si>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</si>
  <si>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</si>
  <si>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</si>
  <si>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</si>
  <si>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</si>
  <si>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</si>
  <si>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</si>
  <si>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</si>
  <si>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</si>
  <si>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</si>
  <si>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</si>
  <si>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</si>
  <si>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</si>
  <si>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</si>
  <si>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</si>
  <si>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</si>
  <si>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</si>
  <si>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</si>
  <si>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</si>
  <si>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</si>
  <si>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INGENIERÍA, 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</si>
  <si>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</si>
  <si>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</si>
  <si>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</si>
  <si>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</si>
  <si>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</si>
  <si>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</si>
  <si>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</si>
  <si>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</si>
  <si>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</si>
  <si>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</si>
  <si>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</si>
  <si>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</si>
  <si>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</si>
  <si>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</si>
  <si>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</si>
  <si>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INGENIERÍA, 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</si>
  <si>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</si>
  <si>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</si>
  <si>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</si>
  <si>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</si>
  <si>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</si>
  <si>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</si>
  <si>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</si>
  <si>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</si>
  <si>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</si>
  <si>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</si>
  <si>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</si>
  <si>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</si>
  <si>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</si>
  <si>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</si>
  <si>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</si>
  <si>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</si>
  <si>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</si>
  <si>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</si>
  <si>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</si>
  <si>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</si>
  <si>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</si>
  <si>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</si>
  <si>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</si>
  <si>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</si>
  <si>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</si>
  <si>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</si>
  <si>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</si>
  <si>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</si>
  <si>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</si>
  <si>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</si>
  <si>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</si>
  <si>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</si>
  <si>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</si>
  <si>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</si>
  <si>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</si>
  <si>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</si>
  <si>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</si>
  <si>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</si>
  <si>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</si>
  <si>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</si>
  <si>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</si>
  <si>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</si>
  <si>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</si>
  <si>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</si>
  <si>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</si>
  <si>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</si>
  <si>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</si>
  <si>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</si>
  <si>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</si>
  <si>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</si>
  <si>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</si>
  <si>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</si>
  <si>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</si>
  <si>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</si>
  <si>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</si>
  <si>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</si>
  <si>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</si>
  <si>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</si>
  <si>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VIPS,  INGENIERÍA
FACECO 
</t>
  </si>
  <si>
    <t>SI-PY3.4</t>
  </si>
  <si>
    <t xml:space="preserve"> Fortalecimiento de los Centros  e Institutos de Investigación</t>
  </si>
  <si>
    <t xml:space="preserve">VIPS, INGENIERÍA  FACECO 
  FACIEN 
</t>
  </si>
  <si>
    <t>SI-PY3.5</t>
  </si>
  <si>
    <t>Fortalecimiento de los Grupos e Investigadores</t>
  </si>
  <si>
    <t xml:space="preserve">VIPS, INGENIERÍA  FACECO 
EDUCACIÓN  FACIEN 
</t>
  </si>
  <si>
    <t>SI-PY3.6</t>
  </si>
  <si>
    <t xml:space="preserve"> Vigilancia Tecnológica</t>
  </si>
  <si>
    <t>SI-PY3.7</t>
  </si>
  <si>
    <t>Artículos en Revistas Indexadas</t>
  </si>
  <si>
    <t>VIPS, INGENIERÍA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</si>
  <si>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</si>
  <si>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</si>
  <si>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</si>
  <si>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</si>
  <si>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</si>
  <si>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</si>
  <si>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VIPS, INGENIERÍA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</si>
  <si>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</si>
  <si>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</si>
  <si>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</si>
  <si>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</si>
  <si>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</si>
  <si>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</si>
  <si>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</si>
  <si>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</si>
  <si>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</si>
  <si>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</si>
  <si>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</si>
  <si>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</si>
  <si>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</si>
  <si>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</si>
  <si>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INGENIERÍA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</si>
  <si>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</si>
  <si>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</si>
  <si>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</si>
  <si>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</si>
  <si>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</si>
  <si>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</si>
  <si>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</si>
  <si>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</si>
  <si>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</si>
  <si>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</si>
  <si>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</si>
  <si>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</si>
  <si>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</si>
  <si>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</si>
  <si>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</si>
  <si>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F.INGENIERÍA 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</si>
  <si>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</si>
  <si>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</si>
  <si>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</si>
  <si>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</si>
  <si>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</si>
  <si>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</si>
  <si>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</si>
  <si>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</si>
  <si>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</si>
  <si>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</si>
  <si>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</si>
  <si>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</si>
  <si>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</si>
  <si>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</si>
  <si>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</si>
  <si>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</si>
  <si>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</si>
  <si>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</si>
  <si>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</si>
  <si>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</si>
  <si>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F. INGENIERÍA 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</si>
  <si>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</si>
  <si>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</si>
  <si>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</si>
  <si>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</si>
  <si>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
VIPS, INGENIERÍA  FACECO, EDUCACIÓN 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</si>
  <si>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</si>
  <si>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</si>
  <si>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</si>
  <si>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</si>
  <si>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</si>
  <si>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</si>
  <si>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</si>
  <si>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</si>
  <si>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</si>
  <si>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</si>
  <si>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</si>
  <si>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</si>
  <si>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</si>
  <si>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</si>
  <si>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</si>
  <si>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</si>
  <si>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</si>
  <si>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</si>
  <si>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</si>
  <si>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</si>
  <si>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</si>
  <si>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políticas públicas regionales.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</si>
  <si>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</si>
  <si>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</si>
  <si>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</si>
  <si>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</si>
  <si>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</si>
  <si>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</si>
  <si>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</si>
  <si>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</si>
  <si>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</si>
  <si>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</si>
  <si>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</si>
  <si>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</si>
  <si>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</si>
  <si>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</si>
  <si>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</si>
  <si>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</si>
  <si>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</si>
  <si>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</si>
  <si>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</si>
  <si>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</si>
  <si>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</si>
  <si>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</si>
  <si>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</si>
  <si>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</si>
  <si>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</si>
  <si>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</si>
  <si>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</si>
  <si>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</si>
  <si>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</si>
  <si>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</si>
  <si>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</si>
  <si>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</si>
  <si>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</si>
  <si>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</si>
  <si>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</si>
  <si>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</si>
  <si>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</si>
  <si>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</si>
  <si>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</si>
  <si>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</si>
  <si>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</si>
  <si>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</si>
  <si>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</si>
  <si>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</si>
  <si>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</si>
  <si>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</si>
  <si>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</si>
  <si>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</si>
  <si>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</si>
  <si>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</si>
  <si>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</si>
  <si>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</si>
  <si>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</si>
  <si>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</si>
  <si>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</si>
  <si>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</si>
  <si>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</si>
  <si>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</si>
  <si>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</si>
  <si>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</si>
  <si>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</si>
  <si>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</si>
  <si>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</si>
  <si>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</si>
  <si>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</si>
  <si>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</si>
  <si>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</si>
  <si>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</si>
  <si>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</si>
  <si>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</si>
  <si>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</si>
  <si>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</si>
  <si>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</si>
  <si>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</si>
  <si>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</si>
  <si>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</si>
  <si>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</si>
  <si>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</si>
  <si>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</si>
  <si>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</si>
  <si>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</si>
  <si>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</si>
  <si>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</si>
  <si>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</si>
  <si>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</si>
  <si>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</si>
  <si>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</si>
  <si>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</si>
  <si>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</si>
  <si>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</si>
  <si>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</si>
  <si>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FACECO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</si>
  <si>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</si>
  <si>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</si>
  <si>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</si>
  <si>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</si>
  <si>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</si>
  <si>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</si>
  <si>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</si>
  <si>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</si>
  <si>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</si>
  <si>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</si>
  <si>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</si>
  <si>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</si>
  <si>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</si>
  <si>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</si>
  <si>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</si>
  <si>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</si>
  <si>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</si>
  <si>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</si>
  <si>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</si>
  <si>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</si>
  <si>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</si>
  <si>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</si>
  <si>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</si>
  <si>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</si>
  <si>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</si>
  <si>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</si>
  <si>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</si>
  <si>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</si>
  <si>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</si>
  <si>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</si>
  <si>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</si>
  <si>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</si>
  <si>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</si>
  <si>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</si>
  <si>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</si>
  <si>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</si>
  <si>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</si>
  <si>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</si>
  <si>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</si>
  <si>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</si>
  <si>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</si>
  <si>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</si>
  <si>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</si>
  <si>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</si>
  <si>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</si>
  <si>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</si>
  <si>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</si>
  <si>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</si>
  <si>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</si>
  <si>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</si>
  <si>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</si>
  <si>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</si>
  <si>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</si>
  <si>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</si>
  <si>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EJECUCIÓN PLAN DE ACCIÓN A 30 DE NOVIEMBRE DE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</si>
  <si>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</si>
  <si>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</si>
  <si>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</si>
  <si>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</si>
  <si>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</si>
  <si>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</si>
  <si>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</si>
  <si>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</si>
  <si>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</si>
  <si>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</si>
  <si>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</si>
  <si>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</si>
  <si>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</si>
  <si>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</si>
  <si>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</si>
  <si>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</si>
  <si>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</si>
  <si>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</si>
  <si>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</si>
  <si>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</si>
  <si>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</si>
  <si>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</si>
  <si>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</si>
  <si>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</si>
  <si>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</si>
  <si>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</si>
  <si>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</si>
  <si>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R. EJECUTADOS EN JULIO</t>
  </si>
  <si>
    <t xml:space="preserve">% DE EJECUCIÓN ACUMULADO  </t>
  </si>
  <si>
    <t>PROY. SOCIAL</t>
  </si>
  <si>
    <t>BIENESTAR</t>
  </si>
  <si>
    <t>EJECUCIÓN  TOTAL</t>
  </si>
  <si>
    <t>COMPARATIVO DE EJECUCION  POR SUBSISTEMAS A NOVIEMBRE DE 2021</t>
  </si>
  <si>
    <t>R. EJECUTADOS  A  OCTUBRE</t>
  </si>
  <si>
    <t>R. EJECUTADOS EN  NOVIEMBRE</t>
  </si>
  <si>
    <t xml:space="preserve"> EJECUCIÓN ACUMULADA  A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</si>
</sst>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;[Red]\(&quot;$&quot;\ #,##0\)"/>
    <numFmt numFmtId="169" formatCode="&quot;$&quot;\ #,##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29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wrapText="1"/>
    </xf>
    <xf numFmtId="0" fontId="0" fillId="7" borderId="7" xfId="0" applyFill="1" applyBorder="1" applyAlignment="1">
      <alignment textRotation="255"/>
    </xf>
    <xf numFmtId="0" fontId="13" fillId="4" borderId="7" xfId="0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8" fillId="0" borderId="11" xfId="0" applyFont="1" applyFill="1" applyBorder="1" applyAlignment="1">
      <alignment horizontal="left" vertical="center" wrapText="1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3" fontId="9" fillId="2" borderId="7" xfId="0" applyNumberFormat="1" applyFont="1" applyFill="1" applyBorder="1" applyAlignment="1">
      <alignment horizontal="center" wrapText="1"/>
    </xf>
    <xf numFmtId="3" fontId="0" fillId="0" borderId="0" xfId="0" applyNumberFormat="1"/>
    <xf numFmtId="3" fontId="10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3" fillId="4" borderId="14" xfId="0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38" fontId="10" fillId="2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0" fontId="16" fillId="4" borderId="16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38" fontId="14" fillId="4" borderId="14" xfId="0" applyNumberFormat="1" applyFont="1" applyFill="1" applyBorder="1" applyAlignment="1">
      <alignment horizontal="right" vertical="center" wrapText="1"/>
    </xf>
    <xf numFmtId="3" fontId="10" fillId="4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0" fillId="2" borderId="13" xfId="0" applyFill="1" applyBorder="1" applyAlignment="1">
      <alignment horizontal="center" vertical="center" textRotation="255"/>
    </xf>
    <xf numFmtId="0" fontId="8" fillId="0" borderId="13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8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2" fillId="8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8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8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8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0" fillId="0" borderId="0" xfId="1" applyFont="1"/>
    <xf numFmtId="166" fontId="10" fillId="0" borderId="0" xfId="1" applyNumberFormat="1" applyFont="1" applyBorder="1"/>
    <xf numFmtId="0" fontId="13" fillId="4" borderId="7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horizontal="left" vertical="center" wrapText="1"/>
    </xf>
    <xf numFmtId="10" fontId="0" fillId="2" borderId="0" xfId="0" applyNumberFormat="1" applyFill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 wrapText="1"/>
    </xf>
    <xf numFmtId="0" fontId="23" fillId="2" borderId="0" xfId="0" applyFont="1" applyFill="1" applyBorder="1"/>
    <xf numFmtId="0" fontId="1" fillId="0" borderId="0" xfId="0" applyFont="1"/>
    <xf numFmtId="0" fontId="1" fillId="0" borderId="0" xfId="0" applyFont="1" applyFill="1"/>
    <xf numFmtId="0" fontId="2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0" fontId="0" fillId="0" borderId="0" xfId="0" applyNumberFormat="1"/>
    <xf numFmtId="0" fontId="2" fillId="2" borderId="2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9" fontId="12" fillId="2" borderId="7" xfId="0" applyNumberFormat="1" applyFont="1" applyFill="1" applyBorder="1" applyAlignment="1">
      <alignment horizontal="right" vertical="center"/>
    </xf>
    <xf numFmtId="169" fontId="8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9" fontId="0" fillId="2" borderId="7" xfId="0" applyNumberFormat="1" applyFill="1" applyBorder="1" applyAlignment="1">
      <alignment horizontal="center"/>
    </xf>
    <xf numFmtId="10" fontId="8" fillId="2" borderId="7" xfId="0" applyNumberFormat="1" applyFont="1" applyFill="1" applyBorder="1" applyAlignment="1">
      <alignment horizontal="center" vertical="center"/>
    </xf>
    <xf numFmtId="3" fontId="0" fillId="0" borderId="7" xfId="0" applyNumberFormat="1" applyBorder="1"/>
    <xf numFmtId="0" fontId="1" fillId="2" borderId="14" xfId="0" applyFont="1" applyFill="1" applyBorder="1" applyAlignment="1">
      <alignment horizontal="center" vertical="center"/>
    </xf>
    <xf numFmtId="169" fontId="12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9" fontId="24" fillId="2" borderId="14" xfId="0" applyNumberFormat="1" applyFont="1" applyFill="1" applyBorder="1" applyAlignment="1">
      <alignment horizontal="right" vertical="center"/>
    </xf>
    <xf numFmtId="169" fontId="24" fillId="2" borderId="16" xfId="0" applyNumberFormat="1" applyFont="1" applyFill="1" applyBorder="1" applyAlignment="1">
      <alignment horizontal="right" vertical="center"/>
    </xf>
    <xf numFmtId="10" fontId="23" fillId="2" borderId="14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30 DE NOVIEMBRE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 30 NOV DE 2021'!$EE$5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471204188481676E-2"/>
                  <c:y val="-9.00900900900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C6B-4DD4-BE25-CEF0D16B9623}"/>
                </c:ext>
              </c:extLst>
            </c:dLbl>
            <c:dLbl>
              <c:idx val="1"/>
              <c:layout>
                <c:manualLayout>
                  <c:x val="1.8615474112856311E-2"/>
                  <c:y val="-9.00900900900900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C6B-4DD4-BE25-CEF0D16B9623}"/>
                </c:ext>
              </c:extLst>
            </c:dLbl>
            <c:dLbl>
              <c:idx val="2"/>
              <c:layout>
                <c:manualLayout>
                  <c:x val="3.6067481093659107E-2"/>
                  <c:y val="-2.702702702702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C6B-4DD4-BE25-CEF0D16B9623}"/>
                </c:ext>
              </c:extLst>
            </c:dLbl>
            <c:dLbl>
              <c:idx val="3"/>
              <c:layout>
                <c:manualLayout>
                  <c:x val="2.0942408376963179E-2"/>
                  <c:y val="-1.50150150150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C6B-4DD4-BE25-CEF0D16B9623}"/>
                </c:ext>
              </c:extLst>
            </c:dLbl>
            <c:dLbl>
              <c:idx val="4"/>
              <c:layout>
                <c:manualLayout>
                  <c:x val="-8.5319937394060687E-17"/>
                  <c:y val="-2.70270270270270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C6B-4DD4-BE25-CEF0D16B96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30 NOV DE 2021'!$ED$6:$ED$129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30 NOV DE 2021'!$EE$6:$EE$129</c:f>
              <c:numCache>
                <c:formatCode>#,##0</c:formatCode>
                <c:ptCount val="5"/>
                <c:pt idx="0">
                  <c:v>2672814183</c:v>
                </c:pt>
                <c:pt idx="1">
                  <c:v>9209707080</c:v>
                </c:pt>
                <c:pt idx="2">
                  <c:v>4269690683</c:v>
                </c:pt>
                <c:pt idx="3">
                  <c:v>4618928674</c:v>
                </c:pt>
                <c:pt idx="4">
                  <c:v>26514474251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6B-4DD4-BE25-CEF0D16B9623}"/>
            </c:ext>
          </c:extLst>
        </c:ser>
        <c:ser>
          <c:idx val="1"/>
          <c:order val="1"/>
          <c:tx>
            <c:strRef>
              <c:f>'P. ACCIÓN CONSOL 30 NOV DE 2021'!$EF$5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77079697498526E-2"/>
                  <c:y val="-6.006006006006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5596276905177386E-2"/>
                  <c:y val="-9.00900900900900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955788248981966E-2"/>
                  <c:y val="-1.101088381234161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3740546829552062E-2"/>
                  <c:y val="-6.006006006006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4.537521815008725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 ACCIÓN CONSOL 30 NOV DE 2021'!$ED$6:$ED$129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30 NOV DE 2021'!$EF$6:$EF$129</c:f>
              <c:numCache>
                <c:formatCode>#,##0</c:formatCode>
                <c:ptCount val="5"/>
                <c:pt idx="0">
                  <c:v>1271120167</c:v>
                </c:pt>
                <c:pt idx="1">
                  <c:v>5126063358</c:v>
                </c:pt>
                <c:pt idx="2">
                  <c:v>3439805709</c:v>
                </c:pt>
                <c:pt idx="3">
                  <c:v>2143880074</c:v>
                </c:pt>
                <c:pt idx="4">
                  <c:v>11440336323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6B-4DD4-BE25-CEF0D16B9623}"/>
            </c:ext>
          </c:extLst>
        </c:ser>
        <c:ser>
          <c:idx val="2"/>
          <c:order val="2"/>
          <c:tx>
            <c:strRef>
              <c:f>'P. ACCIÓN CONSOL 30 NOV DE 2021'!$EG$5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086678301338008E-2"/>
                  <c:y val="1.2012012012011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961605584642191E-2"/>
                  <c:y val="-3.0030030030031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9197299290468272E-2"/>
                  <c:y val="-1.65165165165166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018569668320255E-2"/>
                      <c:h val="3.9654772883119339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3.3740546829552062E-2"/>
                  <c:y val="-1.101088381234161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2.4432809773123908E-2"/>
                  <c:y val="-9.00900900900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 ACCIÓN CONSOL 30 NOV DE 2021'!$ED$6:$ED$129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30 NOV DE 2021'!$EG$6:$EG$129</c:f>
              <c:numCache>
                <c:formatCode>0.00%</c:formatCode>
                <c:ptCount val="5"/>
                <c:pt idx="0">
                  <c:v>0.4755737136852809</c:v>
                </c:pt>
                <c:pt idx="1">
                  <c:v>0.55659352827104247</c:v>
                </c:pt>
                <c:pt idx="2">
                  <c:v>0.80563346724290097</c:v>
                </c:pt>
                <c:pt idx="3">
                  <c:v>0.46415093743878844</c:v>
                </c:pt>
                <c:pt idx="4">
                  <c:v>0.43147513372129281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C6B-4DD4-BE25-CEF0D16B96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30 DE NOVIEMBRE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 30 NOV DE 2021'!$EE$133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681765389082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A3B-4B4A-A24C-804762023628}"/>
                </c:ext>
              </c:extLst>
            </c:dLbl>
            <c:dLbl>
              <c:idx val="1"/>
              <c:layout>
                <c:manualLayout>
                  <c:x val="1.4794509093442966E-2"/>
                  <c:y val="-1.2588116817724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A3B-4B4A-A24C-804762023628}"/>
                </c:ext>
              </c:extLst>
            </c:dLbl>
            <c:dLbl>
              <c:idx val="2"/>
              <c:layout>
                <c:manualLayout>
                  <c:x val="2.4778761061946881E-2"/>
                  <c:y val="-1.51057401812688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2-EA3B-4B4A-A24C-804762023628}"/>
                </c:ext>
              </c:extLst>
            </c:dLbl>
            <c:dLbl>
              <c:idx val="3"/>
              <c:layout>
                <c:manualLayout>
                  <c:x val="5.3247857292174757E-3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A3B-4B4A-A24C-804762023628}"/>
                </c:ext>
              </c:extLst>
            </c:dLbl>
            <c:dLbl>
              <c:idx val="4"/>
              <c:layout>
                <c:manualLayout>
                  <c:x val="2.4088913664552906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A3B-4B4A-A24C-804762023628}"/>
                </c:ext>
              </c:extLst>
            </c:dLbl>
            <c:dLbl>
              <c:idx val="5"/>
              <c:layout>
                <c:manualLayout>
                  <c:x val="2.230385803544468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A3B-4B4A-A24C-804762023628}"/>
                </c:ext>
              </c:extLst>
            </c:dLbl>
            <c:dLbl>
              <c:idx val="6"/>
              <c:layout>
                <c:manualLayout>
                  <c:x val="2.328404524655657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 30 NOV DE 2021'!$ED$134:$ED$140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30 NOV DE 2021'!$EE$134:$EE$140</c:f>
              <c:numCache>
                <c:formatCode>#,##0</c:formatCode>
                <c:ptCount val="7"/>
                <c:pt idx="0">
                  <c:v>14944040739</c:v>
                </c:pt>
                <c:pt idx="1">
                  <c:v>10487526512</c:v>
                </c:pt>
                <c:pt idx="2">
                  <c:v>4618928674</c:v>
                </c:pt>
                <c:pt idx="3">
                  <c:v>1420900967</c:v>
                </c:pt>
                <c:pt idx="4">
                  <c:v>9209707080</c:v>
                </c:pt>
                <c:pt idx="5">
                  <c:v>2334820216</c:v>
                </c:pt>
                <c:pt idx="6">
                  <c:v>4269690683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B-4B4A-A24C-804762023628}"/>
            </c:ext>
          </c:extLst>
        </c:ser>
        <c:ser>
          <c:idx val="1"/>
          <c:order val="1"/>
          <c:tx>
            <c:strRef>
              <c:f>'P. ACCIÓN CONSOL 30 NOV DE 2021'!$EF$133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16608594657375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A3B-4B4A-A24C-804762023628}"/>
                </c:ext>
              </c:extLst>
            </c:dLbl>
            <c:dLbl>
              <c:idx val="1"/>
              <c:layout>
                <c:manualLayout>
                  <c:x val="3.5143753048568045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A3B-4B4A-A24C-804762023628}"/>
                </c:ext>
              </c:extLst>
            </c:dLbl>
            <c:dLbl>
              <c:idx val="2"/>
              <c:layout>
                <c:manualLayout>
                  <c:x val="3.347371844006225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EA3B-4B4A-A24C-804762023628}"/>
                </c:ext>
              </c:extLst>
            </c:dLbl>
            <c:dLbl>
              <c:idx val="3"/>
              <c:layout>
                <c:manualLayout>
                  <c:x val="3.4883701484217128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EA3B-4B4A-A24C-804762023628}"/>
                </c:ext>
              </c:extLst>
            </c:dLbl>
            <c:dLbl>
              <c:idx val="4"/>
              <c:layout>
                <c:manualLayout>
                  <c:x val="2.3697729317783307E-2"/>
                  <c:y val="-1.7623363544813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A3B-4B4A-A24C-804762023628}"/>
                </c:ext>
              </c:extLst>
            </c:dLbl>
            <c:dLbl>
              <c:idx val="5"/>
              <c:layout>
                <c:manualLayout>
                  <c:x val="3.4078807241746459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A3B-4B4A-A24C-804762023628}"/>
                </c:ext>
              </c:extLst>
            </c:dLbl>
            <c:dLbl>
              <c:idx val="6"/>
              <c:layout>
                <c:manualLayout>
                  <c:x val="3.595822525537183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 30 NOV DE 2021'!$ED$134:$ED$140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30 NOV DE 2021'!$EF$134:$EF$140</c:f>
              <c:numCache>
                <c:formatCode>#,##0</c:formatCode>
                <c:ptCount val="7"/>
                <c:pt idx="0">
                  <c:v>8369634138</c:v>
                </c:pt>
                <c:pt idx="1">
                  <c:v>2140435147</c:v>
                </c:pt>
                <c:pt idx="2">
                  <c:v>2143880074</c:v>
                </c:pt>
                <c:pt idx="3">
                  <c:v>676617338</c:v>
                </c:pt>
                <c:pt idx="4">
                  <c:v>5126063358</c:v>
                </c:pt>
                <c:pt idx="5">
                  <c:v>1524769867</c:v>
                </c:pt>
                <c:pt idx="6">
                  <c:v>3439805709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A3B-4B4A-A24C-804762023628}"/>
            </c:ext>
          </c:extLst>
        </c:ser>
        <c:ser>
          <c:idx val="2"/>
          <c:order val="2"/>
          <c:tx>
            <c:strRef>
              <c:f>'P. ACCIÓN CONSOL 30 NOV DE 2021'!$EG$133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421602787456445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A3B-4B4A-A24C-804762023628}"/>
                </c:ext>
              </c:extLst>
            </c:dLbl>
            <c:dLbl>
              <c:idx val="1"/>
              <c:layout>
                <c:manualLayout>
                  <c:x val="1.1855789367792397E-2"/>
                  <c:y val="-1.76233635448136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EA3B-4B4A-A24C-804762023628}"/>
                </c:ext>
              </c:extLst>
            </c:dLbl>
            <c:dLbl>
              <c:idx val="2"/>
              <c:layout>
                <c:manualLayout>
                  <c:x val="1.9169302952175227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EA3B-4B4A-A24C-804762023628}"/>
                </c:ext>
              </c:extLst>
            </c:dLbl>
            <c:dLbl>
              <c:idx val="3"/>
              <c:layout>
                <c:manualLayout>
                  <c:x val="1.6027051496611704E-2"/>
                  <c:y val="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EA3B-4B4A-A24C-804762023628}"/>
                </c:ext>
              </c:extLst>
            </c:dLbl>
            <c:dLbl>
              <c:idx val="4"/>
              <c:layout>
                <c:manualLayout>
                  <c:x val="2.1874125490411258E-2"/>
                  <c:y val="3.776435045317220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72469294996662E-2"/>
                      <c:h val="6.09391726336322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EA3B-4B4A-A24C-804762023628}"/>
                </c:ext>
              </c:extLst>
            </c:dLbl>
            <c:dLbl>
              <c:idx val="5"/>
              <c:layout>
                <c:manualLayout>
                  <c:x val="1.7039378878981284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EA3B-4B4A-A24C-804762023628}"/>
                </c:ext>
              </c:extLst>
            </c:dLbl>
            <c:dLbl>
              <c:idx val="6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 30 NOV DE 2021'!$ED$134:$ED$140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30 NOV DE 2021'!$EG$134:$EG$140</c:f>
              <c:numCache>
                <c:formatCode>0.00%</c:formatCode>
                <c:ptCount val="7"/>
                <c:pt idx="0">
                  <c:v>0.56006499742452287</c:v>
                </c:pt>
                <c:pt idx="1">
                  <c:v>0.20409341941122905</c:v>
                </c:pt>
                <c:pt idx="2">
                  <c:v>0.46415093743878844</c:v>
                </c:pt>
                <c:pt idx="3">
                  <c:v>0.47618894892341923</c:v>
                </c:pt>
                <c:pt idx="4">
                  <c:v>0.55659352827104247</c:v>
                </c:pt>
                <c:pt idx="5">
                  <c:v>0.65305664930905327</c:v>
                </c:pt>
                <c:pt idx="6">
                  <c:v>0.80563346724290097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A3B-4B4A-A24C-80476202362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142</xdr:row>
      <xdr:rowOff>47624</xdr:rowOff>
    </xdr:from>
    <xdr:to>
      <xdr:col>108</xdr:col>
      <xdr:colOff>809626</xdr:colOff>
      <xdr:row>164</xdr:row>
      <xdr:rowOff>38099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167</xdr:row>
      <xdr:rowOff>19050</xdr:rowOff>
    </xdr:from>
    <xdr:to>
      <xdr:col>108</xdr:col>
      <xdr:colOff>981075</xdr:colOff>
      <xdr:row>193</xdr:row>
      <xdr:rowOff>110490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SEPTIEMBRE%20DE%202021%20&#250;ltimo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OCTUBRE%20D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1%20AGOSTO%20DE%202021%20&#250;ltimo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JULIO%20DE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INFORME%20EJECUCI&#211;NPLAN%20DE%20ACCI&#211;N%20A%2030%20NOVIEMBR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9%20OCTUBRE%20DE%20202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29813333</v>
          </cell>
        </row>
        <row r="45">
          <cell r="H45">
            <v>7598333</v>
          </cell>
        </row>
        <row r="84">
          <cell r="AF84">
            <v>32666667</v>
          </cell>
        </row>
        <row r="108">
          <cell r="M108">
            <v>114000000</v>
          </cell>
          <cell r="AE108">
            <v>300000000</v>
          </cell>
        </row>
        <row r="115">
          <cell r="AE115">
            <v>122607964</v>
          </cell>
        </row>
        <row r="128">
          <cell r="AA128">
            <v>60000000</v>
          </cell>
        </row>
        <row r="308">
          <cell r="Y308">
            <v>93168075</v>
          </cell>
        </row>
        <row r="382">
          <cell r="H382">
            <v>108000000</v>
          </cell>
        </row>
        <row r="480">
          <cell r="H480">
            <v>3000000</v>
          </cell>
        </row>
        <row r="483">
          <cell r="H483">
            <v>3000000</v>
          </cell>
        </row>
        <row r="487">
          <cell r="H487">
            <v>7000000</v>
          </cell>
        </row>
        <row r="1342">
          <cell r="AF1342">
            <v>16800000</v>
          </cell>
        </row>
        <row r="1371">
          <cell r="AF1371">
            <v>80000000</v>
          </cell>
        </row>
        <row r="1510">
          <cell r="U1510">
            <v>13998429</v>
          </cell>
        </row>
        <row r="1748">
          <cell r="Y1748">
            <v>10000000</v>
          </cell>
        </row>
        <row r="1756">
          <cell r="S1756">
            <v>151000000</v>
          </cell>
        </row>
        <row r="1928">
          <cell r="H1928">
            <v>14999600</v>
          </cell>
        </row>
        <row r="2646">
          <cell r="J2646">
            <v>134984000</v>
          </cell>
          <cell r="AF2646">
            <v>7150000</v>
          </cell>
        </row>
        <row r="2861">
          <cell r="Y2861">
            <v>15000000</v>
          </cell>
          <cell r="AF2861">
            <v>22113664</v>
          </cell>
        </row>
        <row r="2922">
          <cell r="Y2922">
            <v>8500000</v>
          </cell>
        </row>
        <row r="2985">
          <cell r="X2985">
            <v>10000000</v>
          </cell>
          <cell r="Y2985">
            <v>20000000</v>
          </cell>
        </row>
        <row r="3036">
          <cell r="Y3036">
            <v>12834000</v>
          </cell>
        </row>
        <row r="3054">
          <cell r="J3054">
            <v>186041805</v>
          </cell>
          <cell r="Y3054">
            <v>19896688</v>
          </cell>
        </row>
        <row r="3489">
          <cell r="H3489">
            <v>19896688</v>
          </cell>
        </row>
        <row r="3839">
          <cell r="Y3839">
            <v>33866666</v>
          </cell>
        </row>
        <row r="3872">
          <cell r="J3872">
            <v>76266028</v>
          </cell>
          <cell r="X3872">
            <v>40000000</v>
          </cell>
          <cell r="Y3872">
            <v>42628250</v>
          </cell>
        </row>
        <row r="3959">
          <cell r="Y3959">
            <v>44686666</v>
          </cell>
        </row>
        <row r="4005">
          <cell r="H4005">
            <v>44686498</v>
          </cell>
        </row>
        <row r="4057">
          <cell r="L4057">
            <v>9900000</v>
          </cell>
        </row>
        <row r="4070">
          <cell r="H4070">
            <v>9630000</v>
          </cell>
        </row>
        <row r="4080">
          <cell r="L4080">
            <v>19666667</v>
          </cell>
        </row>
        <row r="4081">
          <cell r="H4081">
            <v>25500000</v>
          </cell>
        </row>
        <row r="4085">
          <cell r="H4085">
            <v>6083333</v>
          </cell>
        </row>
        <row r="4089">
          <cell r="H4089">
            <v>17833334</v>
          </cell>
        </row>
        <row r="4105">
          <cell r="L4105">
            <v>8800000</v>
          </cell>
        </row>
        <row r="4112">
          <cell r="H4112">
            <v>3920000</v>
          </cell>
        </row>
        <row r="4224">
          <cell r="X4224">
            <v>63499350</v>
          </cell>
        </row>
        <row r="4281">
          <cell r="H4281">
            <v>292703333</v>
          </cell>
        </row>
        <row r="4331">
          <cell r="X4331">
            <v>18500000</v>
          </cell>
        </row>
        <row r="4372">
          <cell r="L4372">
            <v>32100000</v>
          </cell>
        </row>
        <row r="4423">
          <cell r="L4423">
            <v>45006667</v>
          </cell>
        </row>
        <row r="4424">
          <cell r="H4424">
            <v>15300000</v>
          </cell>
        </row>
        <row r="4428">
          <cell r="H4428">
            <v>20200000</v>
          </cell>
        </row>
        <row r="4432">
          <cell r="H4432">
            <v>10000000</v>
          </cell>
        </row>
        <row r="4436">
          <cell r="H4436">
            <v>7279999</v>
          </cell>
        </row>
        <row r="4443">
          <cell r="H4443">
            <v>7700000</v>
          </cell>
        </row>
        <row r="4447">
          <cell r="H4447">
            <v>14980000</v>
          </cell>
        </row>
        <row r="4458">
          <cell r="L4458">
            <v>190253333</v>
          </cell>
        </row>
        <row r="4657">
          <cell r="L4657">
            <v>164876159</v>
          </cell>
        </row>
        <row r="4742">
          <cell r="AE4742">
            <v>77846638</v>
          </cell>
        </row>
        <row r="4807">
          <cell r="O4807">
            <v>54980000</v>
          </cell>
          <cell r="AF4807">
            <v>7000000</v>
          </cell>
        </row>
        <row r="4836">
          <cell r="AF4836">
            <v>21500000</v>
          </cell>
        </row>
        <row r="4953">
          <cell r="H4953">
            <v>14974960</v>
          </cell>
        </row>
        <row r="4959">
          <cell r="H4959">
            <v>27854400</v>
          </cell>
        </row>
        <row r="4974">
          <cell r="H4974">
            <v>29657546</v>
          </cell>
        </row>
        <row r="4983">
          <cell r="H4983">
            <v>38575867</v>
          </cell>
        </row>
        <row r="4992">
          <cell r="H4992">
            <v>199915580</v>
          </cell>
        </row>
        <row r="5069">
          <cell r="J5069">
            <v>200000000</v>
          </cell>
          <cell r="L5069">
            <v>22099840</v>
          </cell>
        </row>
        <row r="5070">
          <cell r="H5070">
            <v>26775000</v>
          </cell>
        </row>
        <row r="5073">
          <cell r="H5073">
            <v>77199200</v>
          </cell>
        </row>
        <row r="5200">
          <cell r="H5200">
            <v>59500000</v>
          </cell>
        </row>
        <row r="5205">
          <cell r="H5205">
            <v>133334</v>
          </cell>
        </row>
        <row r="5208">
          <cell r="H5208">
            <v>30000000</v>
          </cell>
        </row>
        <row r="5212">
          <cell r="H5212">
            <v>14400000</v>
          </cell>
        </row>
        <row r="5214">
          <cell r="AF5214">
            <v>14400000</v>
          </cell>
        </row>
        <row r="5293">
          <cell r="J5293">
            <v>61000471</v>
          </cell>
        </row>
        <row r="5305">
          <cell r="J5305">
            <v>91999529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98">
          <cell r="Z98">
            <v>100000000</v>
          </cell>
        </row>
        <row r="118">
          <cell r="Z118">
            <v>108000000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545">
          <cell r="H545">
            <v>14041499</v>
          </cell>
        </row>
        <row r="547">
          <cell r="J547">
            <v>14041500</v>
          </cell>
        </row>
        <row r="567">
          <cell r="H567">
            <v>20000000</v>
          </cell>
        </row>
        <row r="569">
          <cell r="AC569">
            <v>20000000</v>
          </cell>
        </row>
        <row r="767">
          <cell r="H767">
            <v>24493333</v>
          </cell>
        </row>
        <row r="799">
          <cell r="H799">
            <v>6120000</v>
          </cell>
        </row>
        <row r="801">
          <cell r="Z801">
            <v>12240000</v>
          </cell>
        </row>
        <row r="1060">
          <cell r="J1060">
            <v>44495000</v>
          </cell>
        </row>
        <row r="1118">
          <cell r="J1118">
            <v>90046667</v>
          </cell>
        </row>
        <row r="1150">
          <cell r="G1150">
            <v>60000000</v>
          </cell>
        </row>
      </sheetData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O217">
            <v>5819242</v>
          </cell>
        </row>
        <row r="1461">
          <cell r="AA1461">
            <v>44440000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OCT DE 2021 "/>
      <sheetName val="P. ACCIÓN CONSOLIDADO  OCT. 21"/>
    </sheetNames>
    <sheetDataSet>
      <sheetData sheetId="0"/>
      <sheetData sheetId="1">
        <row r="5">
          <cell r="EE5" t="str">
            <v xml:space="preserve">  ASIGNADO</v>
          </cell>
          <cell r="EF5" t="str">
            <v>EJECUTADO</v>
          </cell>
          <cell r="EG5" t="str">
            <v>%  EJECUCIÓN</v>
          </cell>
        </row>
        <row r="24">
          <cell r="ED24" t="str">
            <v>S. FORMACIÓN</v>
          </cell>
          <cell r="EE24">
            <v>2672814183</v>
          </cell>
          <cell r="EF24">
            <v>962508272</v>
          </cell>
          <cell r="EG24">
            <v>0.36011043271241128</v>
          </cell>
        </row>
        <row r="25">
          <cell r="EE25">
            <v>116200000</v>
          </cell>
          <cell r="EF25">
            <v>49753470</v>
          </cell>
        </row>
        <row r="26">
          <cell r="EE26">
            <v>13000000</v>
          </cell>
          <cell r="EF26">
            <v>13000000</v>
          </cell>
        </row>
        <row r="27">
          <cell r="EE27">
            <v>313567799</v>
          </cell>
          <cell r="EF27">
            <v>59249225</v>
          </cell>
        </row>
        <row r="28">
          <cell r="EE28">
            <v>65000000</v>
          </cell>
          <cell r="EF28">
            <v>1242174</v>
          </cell>
        </row>
        <row r="29">
          <cell r="EE29">
            <v>1082732208</v>
          </cell>
          <cell r="EF29">
            <v>276546475</v>
          </cell>
        </row>
        <row r="30">
          <cell r="EE30">
            <v>461000000</v>
          </cell>
          <cell r="EF30">
            <v>226006675</v>
          </cell>
        </row>
        <row r="31">
          <cell r="EE31">
            <v>300000000</v>
          </cell>
          <cell r="EF31">
            <v>93447984</v>
          </cell>
        </row>
        <row r="32">
          <cell r="EE32">
            <v>111215829</v>
          </cell>
          <cell r="EF32">
            <v>2280000</v>
          </cell>
        </row>
        <row r="33">
          <cell r="EE33">
            <v>296000000</v>
          </cell>
          <cell r="EF33">
            <v>101516664</v>
          </cell>
        </row>
        <row r="34">
          <cell r="EE34">
            <v>101812653</v>
          </cell>
          <cell r="EF34">
            <v>22398903</v>
          </cell>
        </row>
        <row r="35">
          <cell r="EE35">
            <v>101000000</v>
          </cell>
          <cell r="EF35">
            <v>32240327</v>
          </cell>
        </row>
        <row r="36">
          <cell r="EE36">
            <v>58800000</v>
          </cell>
          <cell r="EF36">
            <v>43691962</v>
          </cell>
        </row>
        <row r="37">
          <cell r="EE37">
            <v>414000000</v>
          </cell>
          <cell r="EF37">
            <v>285752909</v>
          </cell>
        </row>
        <row r="38">
          <cell r="EE38">
            <v>694924898</v>
          </cell>
          <cell r="EF38">
            <v>198208554</v>
          </cell>
        </row>
        <row r="39">
          <cell r="EE39">
            <v>70883333</v>
          </cell>
          <cell r="EF39">
            <v>67400000</v>
          </cell>
        </row>
        <row r="40">
          <cell r="EE40">
            <v>146000000</v>
          </cell>
          <cell r="EF40">
            <v>62370167</v>
          </cell>
        </row>
        <row r="41">
          <cell r="EE41">
            <v>50000000</v>
          </cell>
          <cell r="EF41">
            <v>19216666</v>
          </cell>
        </row>
        <row r="42">
          <cell r="EE42">
            <v>397484326</v>
          </cell>
          <cell r="EF42">
            <v>295588691</v>
          </cell>
        </row>
        <row r="43">
          <cell r="EE43">
            <v>700996742</v>
          </cell>
          <cell r="EF43">
            <v>400464550</v>
          </cell>
        </row>
        <row r="44">
          <cell r="EE44">
            <v>30000000</v>
          </cell>
          <cell r="EF44">
            <v>27611531</v>
          </cell>
        </row>
        <row r="45">
          <cell r="EE45">
            <v>30000000</v>
          </cell>
          <cell r="EF45">
            <v>438500</v>
          </cell>
        </row>
        <row r="46">
          <cell r="EE46">
            <v>2983654075</v>
          </cell>
          <cell r="EF46">
            <v>1941035518</v>
          </cell>
        </row>
        <row r="47">
          <cell r="EE47">
            <v>139000000</v>
          </cell>
          <cell r="EF47">
            <v>123334899</v>
          </cell>
        </row>
        <row r="48">
          <cell r="EE48">
            <v>144453059</v>
          </cell>
          <cell r="EF48">
            <v>97975933</v>
          </cell>
        </row>
        <row r="49">
          <cell r="EE49">
            <v>387982158</v>
          </cell>
          <cell r="EF49">
            <v>123281274</v>
          </cell>
        </row>
        <row r="50">
          <cell r="ED50" t="str">
            <v>S. INVESTIGACIÓN</v>
          </cell>
          <cell r="EE50">
            <v>9209707080</v>
          </cell>
          <cell r="EF50">
            <v>4564053051</v>
          </cell>
          <cell r="EG50">
            <v>0.4955698385794915</v>
          </cell>
        </row>
        <row r="51">
          <cell r="EE51">
            <v>33908250</v>
          </cell>
          <cell r="EF51">
            <v>12885250</v>
          </cell>
        </row>
        <row r="52">
          <cell r="EE52">
            <v>60000000</v>
          </cell>
          <cell r="EF52">
            <v>37034435</v>
          </cell>
        </row>
        <row r="53">
          <cell r="EE53">
            <v>65000000</v>
          </cell>
          <cell r="EF53">
            <v>13999998</v>
          </cell>
        </row>
        <row r="54">
          <cell r="EE54">
            <v>88408777</v>
          </cell>
          <cell r="EF54">
            <v>22967608</v>
          </cell>
        </row>
        <row r="55">
          <cell r="EE55">
            <v>157113664</v>
          </cell>
          <cell r="EF55">
            <v>117910674</v>
          </cell>
        </row>
        <row r="56">
          <cell r="EE56">
            <v>78500000</v>
          </cell>
          <cell r="EF56">
            <v>70329965</v>
          </cell>
        </row>
        <row r="57">
          <cell r="EE57">
            <v>25222055</v>
          </cell>
          <cell r="EF57">
            <v>25149440</v>
          </cell>
        </row>
        <row r="58">
          <cell r="EE58">
            <v>45000000</v>
          </cell>
          <cell r="EF58">
            <v>44025636</v>
          </cell>
        </row>
        <row r="59">
          <cell r="EE59">
            <v>14041500</v>
          </cell>
          <cell r="EF59">
            <v>14041499</v>
          </cell>
        </row>
        <row r="60">
          <cell r="EE60">
            <v>70000000</v>
          </cell>
          <cell r="EF60">
            <v>50742329</v>
          </cell>
        </row>
        <row r="61">
          <cell r="EE61">
            <v>50000000</v>
          </cell>
          <cell r="EF61">
            <v>49556756</v>
          </cell>
        </row>
        <row r="62">
          <cell r="EE62">
            <v>52834000</v>
          </cell>
          <cell r="EF62">
            <v>48999466</v>
          </cell>
        </row>
        <row r="63">
          <cell r="EE63">
            <v>1254721927</v>
          </cell>
          <cell r="EF63">
            <v>974160927</v>
          </cell>
        </row>
        <row r="64">
          <cell r="EE64">
            <v>0</v>
          </cell>
          <cell r="EF64">
            <v>0</v>
          </cell>
        </row>
        <row r="65">
          <cell r="ED65" t="str">
            <v>S. INVESTIGACIÓN</v>
          </cell>
          <cell r="EE65">
            <v>68878336</v>
          </cell>
          <cell r="EF65">
            <v>40078336</v>
          </cell>
        </row>
        <row r="66">
          <cell r="EE66">
            <v>1404625000</v>
          </cell>
          <cell r="EF66">
            <v>1138928149</v>
          </cell>
        </row>
        <row r="67">
          <cell r="EE67">
            <v>178800000</v>
          </cell>
          <cell r="EF67">
            <v>88899060</v>
          </cell>
        </row>
        <row r="68">
          <cell r="EE68">
            <v>103866666</v>
          </cell>
          <cell r="EF68">
            <v>103858256</v>
          </cell>
        </row>
        <row r="69">
          <cell r="EE69">
            <v>158894278</v>
          </cell>
          <cell r="EF69">
            <v>146675984</v>
          </cell>
        </row>
        <row r="70">
          <cell r="EE70">
            <v>60000000</v>
          </cell>
          <cell r="EF70">
            <v>33663323</v>
          </cell>
        </row>
        <row r="71">
          <cell r="EE71">
            <v>216876230</v>
          </cell>
          <cell r="EF71">
            <v>191113170</v>
          </cell>
        </row>
        <row r="72">
          <cell r="EE72">
            <v>18000000</v>
          </cell>
          <cell r="EF72">
            <v>12000000</v>
          </cell>
        </row>
        <row r="73">
          <cell r="EE73">
            <v>15660000</v>
          </cell>
          <cell r="EF73">
            <v>0</v>
          </cell>
        </row>
        <row r="74">
          <cell r="EE74">
            <v>10000000</v>
          </cell>
          <cell r="EF74">
            <v>0</v>
          </cell>
        </row>
        <row r="75">
          <cell r="EE75">
            <v>39340000</v>
          </cell>
          <cell r="EF75">
            <v>29339994</v>
          </cell>
        </row>
        <row r="76">
          <cell r="EE76">
            <v>0</v>
          </cell>
          <cell r="EF76">
            <v>0</v>
          </cell>
        </row>
        <row r="77">
          <cell r="ED77" t="str">
            <v>S. PROYECCIÓN SOCIAL</v>
          </cell>
          <cell r="EE77">
            <v>4269690683</v>
          </cell>
          <cell r="EF77">
            <v>3266360255</v>
          </cell>
          <cell r="EG77">
            <v>0.76501098030477632</v>
          </cell>
        </row>
        <row r="78">
          <cell r="EE78">
            <v>144900000</v>
          </cell>
          <cell r="EF78">
            <v>42189999</v>
          </cell>
        </row>
        <row r="79">
          <cell r="EE79">
            <v>70000000</v>
          </cell>
          <cell r="EF79">
            <v>0</v>
          </cell>
        </row>
        <row r="80">
          <cell r="EE80">
            <v>79666667</v>
          </cell>
          <cell r="EF80">
            <v>49416667</v>
          </cell>
        </row>
        <row r="81">
          <cell r="EE81">
            <v>10000000</v>
          </cell>
          <cell r="EF81">
            <v>0</v>
          </cell>
        </row>
        <row r="82">
          <cell r="EE82">
            <v>10000000</v>
          </cell>
          <cell r="EF82">
            <v>0</v>
          </cell>
        </row>
        <row r="83">
          <cell r="EE83">
            <v>34800000</v>
          </cell>
          <cell r="EF83">
            <v>12000000</v>
          </cell>
        </row>
        <row r="84">
          <cell r="EE84">
            <v>85000000</v>
          </cell>
          <cell r="EF84">
            <v>66332000</v>
          </cell>
        </row>
        <row r="85">
          <cell r="EE85">
            <v>68000000</v>
          </cell>
          <cell r="EF85">
            <v>3000000</v>
          </cell>
        </row>
        <row r="86">
          <cell r="EE86">
            <v>300000000</v>
          </cell>
          <cell r="EF86">
            <v>286566724</v>
          </cell>
        </row>
        <row r="87">
          <cell r="EE87">
            <v>305000000</v>
          </cell>
          <cell r="EF87">
            <v>92654156</v>
          </cell>
        </row>
        <row r="88">
          <cell r="EE88">
            <v>238583573</v>
          </cell>
          <cell r="EF88">
            <v>77781017</v>
          </cell>
        </row>
        <row r="89">
          <cell r="ED89" t="str">
            <v>S. PROYECCIÓN SOCIAL</v>
          </cell>
          <cell r="EE89">
            <v>327243035</v>
          </cell>
          <cell r="EF89">
            <v>292703333</v>
          </cell>
        </row>
        <row r="90">
          <cell r="EE90">
            <v>135362850</v>
          </cell>
          <cell r="EF90">
            <v>59121687</v>
          </cell>
        </row>
        <row r="91">
          <cell r="EE91">
            <v>152100000</v>
          </cell>
          <cell r="EF91">
            <v>100206952</v>
          </cell>
        </row>
        <row r="92">
          <cell r="EE92">
            <v>40000000</v>
          </cell>
          <cell r="EF92">
            <v>0</v>
          </cell>
        </row>
        <row r="93">
          <cell r="EE93">
            <v>96900000</v>
          </cell>
          <cell r="EF93">
            <v>75459999</v>
          </cell>
        </row>
        <row r="94">
          <cell r="EE94">
            <v>1171418102</v>
          </cell>
          <cell r="EF94">
            <v>0</v>
          </cell>
        </row>
        <row r="95">
          <cell r="EE95">
            <v>1057720570</v>
          </cell>
          <cell r="EF95">
            <v>594007195</v>
          </cell>
        </row>
        <row r="96">
          <cell r="EE96">
            <v>292233877</v>
          </cell>
          <cell r="EF96">
            <v>224520000</v>
          </cell>
        </row>
        <row r="97">
          <cell r="ED97" t="str">
            <v>S. BIENESTAR UNIVERSITARIO</v>
          </cell>
          <cell r="EE97">
            <v>4618928674</v>
          </cell>
          <cell r="EF97">
            <v>1975959729</v>
          </cell>
          <cell r="EG97">
            <v>0.4277961121423457</v>
          </cell>
        </row>
        <row r="98">
          <cell r="EE98">
            <v>10598461344</v>
          </cell>
          <cell r="EF98">
            <v>7842163714</v>
          </cell>
        </row>
        <row r="99">
          <cell r="EE99">
            <v>426445085</v>
          </cell>
          <cell r="EF99">
            <v>0</v>
          </cell>
        </row>
        <row r="100">
          <cell r="EE100">
            <v>5000000</v>
          </cell>
          <cell r="EF100">
            <v>4982100</v>
          </cell>
        </row>
        <row r="101">
          <cell r="EE101">
            <v>3186726279</v>
          </cell>
          <cell r="EF101">
            <v>349134504</v>
          </cell>
        </row>
        <row r="102">
          <cell r="EE102">
            <v>727408031</v>
          </cell>
          <cell r="EF102">
            <v>0</v>
          </cell>
        </row>
        <row r="103">
          <cell r="EE103">
            <v>1526755245</v>
          </cell>
          <cell r="EF103">
            <v>22374710</v>
          </cell>
        </row>
        <row r="104">
          <cell r="EE104">
            <v>177162497</v>
          </cell>
          <cell r="EF104">
            <v>2710000</v>
          </cell>
        </row>
        <row r="105">
          <cell r="ED105" t="str">
            <v>S. BIENESTAR UNIVERSITARIO</v>
          </cell>
          <cell r="EE105">
            <v>537612538</v>
          </cell>
          <cell r="EF105">
            <v>0</v>
          </cell>
        </row>
        <row r="106">
          <cell r="ED106" t="str">
            <v>S. BIENESTAR UNIVERSITARIO</v>
          </cell>
          <cell r="EE106">
            <v>2783401112</v>
          </cell>
          <cell r="EF106">
            <v>68162939</v>
          </cell>
        </row>
        <row r="107">
          <cell r="EE107">
            <v>299954928</v>
          </cell>
          <cell r="EF107">
            <v>33987444</v>
          </cell>
        </row>
        <row r="108">
          <cell r="EE108">
            <v>519100131</v>
          </cell>
          <cell r="EF108">
            <v>0</v>
          </cell>
        </row>
        <row r="109">
          <cell r="EE109">
            <v>459373195</v>
          </cell>
          <cell r="EF109">
            <v>0</v>
          </cell>
        </row>
        <row r="110">
          <cell r="EE110">
            <v>0</v>
          </cell>
          <cell r="EF110">
            <v>0</v>
          </cell>
        </row>
        <row r="111">
          <cell r="EE111">
            <v>230168649</v>
          </cell>
          <cell r="EF111">
            <v>59876002</v>
          </cell>
        </row>
        <row r="112">
          <cell r="EE112">
            <v>17171220</v>
          </cell>
          <cell r="EF112">
            <v>2975000</v>
          </cell>
        </row>
        <row r="113">
          <cell r="EE113">
            <v>646898232</v>
          </cell>
          <cell r="EF113">
            <v>137102508</v>
          </cell>
        </row>
        <row r="114">
          <cell r="EE114">
            <v>798382610</v>
          </cell>
          <cell r="EF114">
            <v>659379600</v>
          </cell>
        </row>
        <row r="115">
          <cell r="EE115">
            <v>795694116</v>
          </cell>
          <cell r="EF115">
            <v>155179998</v>
          </cell>
        </row>
        <row r="116">
          <cell r="EE116">
            <v>90000000</v>
          </cell>
          <cell r="EF116">
            <v>87287220</v>
          </cell>
        </row>
        <row r="117">
          <cell r="EE117">
            <v>135400000</v>
          </cell>
          <cell r="EF117">
            <v>123143153</v>
          </cell>
        </row>
        <row r="118">
          <cell r="EE118">
            <v>489600000</v>
          </cell>
          <cell r="EF118">
            <v>469493724</v>
          </cell>
        </row>
        <row r="119">
          <cell r="EE119">
            <v>980852039</v>
          </cell>
          <cell r="EF119">
            <v>103974200</v>
          </cell>
        </row>
        <row r="120">
          <cell r="EE120">
            <v>170100000</v>
          </cell>
          <cell r="EF120">
            <v>140769468</v>
          </cell>
        </row>
        <row r="121">
          <cell r="EE121">
            <v>5807000</v>
          </cell>
          <cell r="EF121">
            <v>5546667</v>
          </cell>
        </row>
        <row r="122">
          <cell r="EE122">
            <v>190000000</v>
          </cell>
          <cell r="EF122">
            <v>173980614</v>
          </cell>
        </row>
        <row r="123">
          <cell r="EE123">
            <v>194900000</v>
          </cell>
          <cell r="EF123">
            <v>188822661</v>
          </cell>
        </row>
        <row r="124">
          <cell r="EE124">
            <v>90000000</v>
          </cell>
          <cell r="EF124">
            <v>89633334</v>
          </cell>
        </row>
        <row r="125">
          <cell r="EE125">
            <v>22700000</v>
          </cell>
          <cell r="EF125">
            <v>20200000</v>
          </cell>
        </row>
        <row r="126">
          <cell r="EE126">
            <v>240000000</v>
          </cell>
          <cell r="EF126">
            <v>224728844</v>
          </cell>
        </row>
        <row r="127">
          <cell r="ED127" t="str">
            <v>S. ADMINISTRATIVO</v>
          </cell>
          <cell r="EE127">
            <v>68000471</v>
          </cell>
          <cell r="EF127">
            <v>8428833</v>
          </cell>
        </row>
        <row r="128">
          <cell r="EE128">
            <v>101399529</v>
          </cell>
          <cell r="EF128">
            <v>55183284</v>
          </cell>
        </row>
        <row r="129">
          <cell r="ED129" t="str">
            <v>S. ADMINISTRATIVO</v>
          </cell>
          <cell r="EE129">
            <v>26514474251</v>
          </cell>
          <cell r="EF129">
            <v>11029220521</v>
          </cell>
          <cell r="EG129">
            <v>0.4159697988574686</v>
          </cell>
        </row>
        <row r="133">
          <cell r="EE133" t="str">
            <v xml:space="preserve">  ASIGNADO</v>
          </cell>
          <cell r="EF133" t="str">
            <v>EJECUTADO</v>
          </cell>
          <cell r="EG133" t="str">
            <v>%  EJECUCIÓN</v>
          </cell>
        </row>
        <row r="134">
          <cell r="ED134" t="str">
            <v>CONSTRUCCIÓN</v>
          </cell>
          <cell r="EE134">
            <v>14944040739</v>
          </cell>
          <cell r="EF134">
            <v>8196280318</v>
          </cell>
          <cell r="EG134">
            <v>0.54846480019355626</v>
          </cell>
        </row>
        <row r="135">
          <cell r="ED135" t="str">
            <v>DOTACIÓN</v>
          </cell>
          <cell r="EE135">
            <v>10487526512</v>
          </cell>
          <cell r="EF135">
            <v>1925646498</v>
          </cell>
          <cell r="EG135">
            <v>0.18361302789524714</v>
          </cell>
        </row>
        <row r="136">
          <cell r="ED136" t="str">
            <v>BIENESTAR UNIVERSITARIO</v>
          </cell>
          <cell r="EE136">
            <v>4618928674</v>
          </cell>
          <cell r="EF136">
            <v>1975959729</v>
          </cell>
          <cell r="EG136">
            <v>0.4277961121423457</v>
          </cell>
        </row>
        <row r="137">
          <cell r="ED137" t="str">
            <v>CAPACITACIÓN</v>
          </cell>
          <cell r="EE137">
            <v>1420900967</v>
          </cell>
          <cell r="EF137">
            <v>387464733</v>
          </cell>
          <cell r="EG137">
            <v>0.27268947097563628</v>
          </cell>
        </row>
        <row r="138">
          <cell r="ED138" t="str">
            <v>INVESTIGACIÓN</v>
          </cell>
          <cell r="EE138">
            <v>9209707080</v>
          </cell>
          <cell r="EF138">
            <v>4564053051</v>
          </cell>
          <cell r="EG138">
            <v>0.4955698385794915</v>
          </cell>
        </row>
        <row r="139">
          <cell r="ED139" t="str">
            <v>PLANEACIÓN</v>
          </cell>
          <cell r="EE139">
            <v>2334820216</v>
          </cell>
          <cell r="EF139">
            <v>1482337244</v>
          </cell>
          <cell r="EG139">
            <v>0.63488282045952615</v>
          </cell>
        </row>
        <row r="140">
          <cell r="ED140" t="str">
            <v>EXTENSIÓN</v>
          </cell>
          <cell r="EE140">
            <v>4269690683</v>
          </cell>
          <cell r="EF140">
            <v>3266360255</v>
          </cell>
          <cell r="EG140">
            <v>0.76501098030477632</v>
          </cell>
        </row>
        <row r="199">
          <cell r="BF199">
            <v>962508272</v>
          </cell>
        </row>
        <row r="200">
          <cell r="BF200">
            <v>4564053051</v>
          </cell>
        </row>
        <row r="201">
          <cell r="BF201">
            <v>3266360255</v>
          </cell>
        </row>
        <row r="202">
          <cell r="BF202">
            <v>1975959729</v>
          </cell>
        </row>
        <row r="203">
          <cell r="BF203">
            <v>11029220521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A18">
            <v>1000000</v>
          </cell>
        </row>
        <row r="80">
          <cell r="AA80">
            <v>8000000</v>
          </cell>
        </row>
        <row r="154">
          <cell r="G154">
            <v>8000000</v>
          </cell>
        </row>
        <row r="362">
          <cell r="AF362">
            <v>18000000</v>
          </cell>
        </row>
        <row r="418">
          <cell r="J418">
            <v>10000000</v>
          </cell>
        </row>
        <row r="604">
          <cell r="T604">
            <v>13800460</v>
          </cell>
          <cell r="V604">
            <v>4320000</v>
          </cell>
        </row>
        <row r="1507">
          <cell r="X1507">
            <v>76613000</v>
          </cell>
        </row>
        <row r="2327">
          <cell r="H2327">
            <v>12885250</v>
          </cell>
        </row>
        <row r="2329">
          <cell r="J2329">
            <v>23408250</v>
          </cell>
        </row>
        <row r="2349">
          <cell r="J2349">
            <v>20000000</v>
          </cell>
        </row>
        <row r="2374">
          <cell r="J2374">
            <v>15000000</v>
          </cell>
        </row>
        <row r="2569">
          <cell r="H2569">
            <v>2127497</v>
          </cell>
        </row>
        <row r="2575">
          <cell r="H2575">
            <v>10000000</v>
          </cell>
        </row>
        <row r="2579">
          <cell r="J2579">
            <v>10000000</v>
          </cell>
        </row>
        <row r="3109">
          <cell r="AF3109">
            <v>8766666</v>
          </cell>
        </row>
        <row r="3384">
          <cell r="H3384">
            <v>10231333</v>
          </cell>
        </row>
        <row r="3387">
          <cell r="H3387">
            <v>25818666</v>
          </cell>
        </row>
        <row r="3392">
          <cell r="H3392">
            <v>8308667</v>
          </cell>
        </row>
        <row r="3395">
          <cell r="H3395">
            <v>21973334</v>
          </cell>
        </row>
        <row r="3521">
          <cell r="K3521">
            <v>2000000</v>
          </cell>
          <cell r="AB3521">
            <v>290905000</v>
          </cell>
        </row>
        <row r="3546">
          <cell r="H3546">
            <v>2000000</v>
          </cell>
        </row>
        <row r="3870">
          <cell r="Q3870">
            <v>290776495</v>
          </cell>
          <cell r="R3870">
            <v>51651000</v>
          </cell>
        </row>
        <row r="3880">
          <cell r="H3880">
            <v>42007000</v>
          </cell>
        </row>
        <row r="3892">
          <cell r="H3892">
            <v>4982100</v>
          </cell>
        </row>
        <row r="4073">
          <cell r="H4073">
            <v>2779998</v>
          </cell>
        </row>
        <row r="4076">
          <cell r="H4076">
            <v>2173000</v>
          </cell>
        </row>
        <row r="4079">
          <cell r="H4079">
            <v>27000</v>
          </cell>
        </row>
        <row r="4087">
          <cell r="X4087">
            <v>45000000</v>
          </cell>
        </row>
        <row r="4104">
          <cell r="J4104">
            <v>54926353</v>
          </cell>
          <cell r="X4104">
            <v>80400000</v>
          </cell>
        </row>
        <row r="4124">
          <cell r="X4124">
            <v>199600000</v>
          </cell>
          <cell r="Y4124">
            <v>90000000</v>
          </cell>
        </row>
        <row r="4226">
          <cell r="X4226">
            <v>90000000</v>
          </cell>
        </row>
        <row r="4294">
          <cell r="J4294">
            <v>60000000</v>
          </cell>
          <cell r="Y4294">
            <v>30000000</v>
          </cell>
        </row>
        <row r="4315">
          <cell r="X4315">
            <v>100000000</v>
          </cell>
          <cell r="Y4315">
            <v>80000000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950">
          <cell r="X950">
            <v>500000</v>
          </cell>
        </row>
        <row r="1416">
          <cell r="J1416">
            <v>3000000</v>
          </cell>
        </row>
        <row r="2006">
          <cell r="H2006">
            <v>2034438</v>
          </cell>
        </row>
        <row r="2009">
          <cell r="H2009">
            <v>15000000</v>
          </cell>
        </row>
        <row r="2108">
          <cell r="X2108">
            <v>15672971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J2184">
            <v>39634437</v>
          </cell>
          <cell r="X2184">
            <v>10000000</v>
          </cell>
        </row>
        <row r="2185">
          <cell r="H2185">
            <v>12349724</v>
          </cell>
        </row>
        <row r="2189">
          <cell r="H2189">
            <v>12582739</v>
          </cell>
        </row>
        <row r="2192">
          <cell r="H2192">
            <v>12127500</v>
          </cell>
        </row>
        <row r="2195">
          <cell r="H2195">
            <v>369296</v>
          </cell>
        </row>
        <row r="2695">
          <cell r="H2695">
            <v>9851666</v>
          </cell>
        </row>
        <row r="2698">
          <cell r="H2698">
            <v>11999998</v>
          </cell>
        </row>
        <row r="2701">
          <cell r="H2701">
            <v>6599998</v>
          </cell>
        </row>
        <row r="2704">
          <cell r="H2704">
            <v>16999998</v>
          </cell>
        </row>
        <row r="2708">
          <cell r="H2708">
            <v>4540000</v>
          </cell>
        </row>
        <row r="2711">
          <cell r="H2711">
            <v>10000000</v>
          </cell>
        </row>
        <row r="2715">
          <cell r="H2715">
            <v>10000000</v>
          </cell>
        </row>
        <row r="2786">
          <cell r="H2786">
            <v>40463329</v>
          </cell>
        </row>
        <row r="2792">
          <cell r="H2792">
            <v>9240000</v>
          </cell>
        </row>
        <row r="2817">
          <cell r="H2817">
            <v>10000000</v>
          </cell>
        </row>
        <row r="2822">
          <cell r="H2822">
            <v>296671</v>
          </cell>
        </row>
        <row r="2837">
          <cell r="H2837">
            <v>10000000</v>
          </cell>
        </row>
        <row r="2882">
          <cell r="H2882">
            <v>4950000</v>
          </cell>
        </row>
        <row r="2884">
          <cell r="H2884">
            <v>3116666</v>
          </cell>
        </row>
        <row r="2918">
          <cell r="H2918">
            <v>1960000</v>
          </cell>
        </row>
        <row r="3171">
          <cell r="AF3171">
            <v>10000000</v>
          </cell>
        </row>
        <row r="3425">
          <cell r="AF3425">
            <v>950000</v>
          </cell>
        </row>
        <row r="3437">
          <cell r="H3437">
            <v>27680444</v>
          </cell>
        </row>
        <row r="3506">
          <cell r="O3506">
            <v>270000000</v>
          </cell>
          <cell r="X3506">
            <v>289379600</v>
          </cell>
          <cell r="Z3506">
            <v>100000000</v>
          </cell>
        </row>
        <row r="3520">
          <cell r="H3520">
            <v>106500000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667">
          <cell r="H3667">
            <v>90046667</v>
          </cell>
        </row>
        <row r="3791">
          <cell r="H3791">
            <v>7428362</v>
          </cell>
        </row>
        <row r="3795">
          <cell r="H3795">
            <v>1000471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56">
          <cell r="J56">
            <v>46336160</v>
          </cell>
          <cell r="AA56">
            <v>18000000</v>
          </cell>
        </row>
        <row r="277">
          <cell r="H277">
            <v>15000000</v>
          </cell>
        </row>
        <row r="803">
          <cell r="X803">
            <v>19500000</v>
          </cell>
        </row>
        <row r="1014">
          <cell r="J1014">
            <v>30000000</v>
          </cell>
        </row>
        <row r="1015">
          <cell r="H1015">
            <v>14000000</v>
          </cell>
        </row>
        <row r="1024">
          <cell r="H1024">
            <v>16000000</v>
          </cell>
        </row>
        <row r="1109">
          <cell r="AF1109">
            <v>15000000</v>
          </cell>
        </row>
        <row r="1278">
          <cell r="H1278">
            <v>15306666</v>
          </cell>
        </row>
        <row r="1475">
          <cell r="J1475">
            <v>90000000</v>
          </cell>
          <cell r="X1475">
            <v>20000000</v>
          </cell>
        </row>
        <row r="1497">
          <cell r="S1497">
            <v>30000000</v>
          </cell>
        </row>
        <row r="1694">
          <cell r="J1694">
            <v>100000000</v>
          </cell>
          <cell r="X1694">
            <v>19123333</v>
          </cell>
        </row>
        <row r="1729">
          <cell r="J1729">
            <v>50000000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811">
          <cell r="X1811">
            <v>10000000</v>
          </cell>
        </row>
        <row r="2245">
          <cell r="J2245">
            <v>60000000</v>
          </cell>
          <cell r="X2245">
            <v>10000000</v>
          </cell>
        </row>
        <row r="2297">
          <cell r="X2297">
            <v>10000000</v>
          </cell>
        </row>
        <row r="2325">
          <cell r="J2325">
            <v>60000000</v>
          </cell>
          <cell r="X2325">
            <v>10000000</v>
          </cell>
        </row>
        <row r="2364">
          <cell r="X2364">
            <v>10000000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503">
          <cell r="AB2503">
            <v>92000000</v>
          </cell>
          <cell r="AF2503">
            <v>2000000</v>
          </cell>
        </row>
        <row r="2593">
          <cell r="X2593">
            <v>57050000</v>
          </cell>
        </row>
        <row r="2629"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AA2653">
            <v>147360000</v>
          </cell>
        </row>
        <row r="2726">
          <cell r="X2726">
            <v>7357718</v>
          </cell>
          <cell r="AA2726">
            <v>120000000</v>
          </cell>
        </row>
        <row r="2770">
          <cell r="G2770">
            <v>5000000</v>
          </cell>
        </row>
        <row r="2944">
          <cell r="J2944">
            <v>200000000</v>
          </cell>
        </row>
        <row r="3003">
          <cell r="X3003">
            <v>65941000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63">
          <cell r="H63">
            <v>5999999</v>
          </cell>
        </row>
        <row r="66">
          <cell r="H66">
            <v>29166667</v>
          </cell>
        </row>
        <row r="72">
          <cell r="H72">
            <v>7083333</v>
          </cell>
        </row>
        <row r="75">
          <cell r="H75">
            <v>9436160</v>
          </cell>
        </row>
        <row r="80">
          <cell r="H80">
            <v>10447172</v>
          </cell>
        </row>
        <row r="88">
          <cell r="H88">
            <v>1000000</v>
          </cell>
        </row>
        <row r="91">
          <cell r="H91">
            <v>1666667</v>
          </cell>
        </row>
        <row r="94">
          <cell r="H94">
            <v>5000000</v>
          </cell>
        </row>
        <row r="99">
          <cell r="H99">
            <v>7000000</v>
          </cell>
        </row>
        <row r="103">
          <cell r="H103">
            <v>6333333</v>
          </cell>
        </row>
        <row r="107">
          <cell r="H107">
            <v>6000000</v>
          </cell>
        </row>
        <row r="112">
          <cell r="H112">
            <v>8666667</v>
          </cell>
        </row>
        <row r="138">
          <cell r="M138">
            <v>478050814</v>
          </cell>
        </row>
        <row r="139">
          <cell r="H139">
            <v>49999990</v>
          </cell>
        </row>
        <row r="155">
          <cell r="H155">
            <v>59286788</v>
          </cell>
        </row>
        <row r="169">
          <cell r="H169">
            <v>10000000</v>
          </cell>
        </row>
        <row r="174">
          <cell r="H174">
            <v>500000</v>
          </cell>
        </row>
        <row r="177">
          <cell r="H177">
            <v>4099000</v>
          </cell>
        </row>
        <row r="181">
          <cell r="H181">
            <v>14075807</v>
          </cell>
        </row>
        <row r="187">
          <cell r="H187">
            <v>8000000</v>
          </cell>
        </row>
        <row r="191">
          <cell r="H191">
            <v>10629755</v>
          </cell>
        </row>
        <row r="195">
          <cell r="H195">
            <v>125535670</v>
          </cell>
        </row>
        <row r="210">
          <cell r="H210">
            <v>2716000</v>
          </cell>
        </row>
        <row r="214">
          <cell r="H214">
            <v>101714803</v>
          </cell>
        </row>
        <row r="217">
          <cell r="H217">
            <v>8579463</v>
          </cell>
        </row>
        <row r="227">
          <cell r="H227">
            <v>201867945</v>
          </cell>
        </row>
        <row r="229">
          <cell r="AF229">
            <v>29987060</v>
          </cell>
        </row>
        <row r="230">
          <cell r="H230">
            <v>40025299</v>
          </cell>
        </row>
        <row r="335">
          <cell r="H335">
            <v>1035350</v>
          </cell>
        </row>
        <row r="339">
          <cell r="H339">
            <v>1000000</v>
          </cell>
        </row>
        <row r="346">
          <cell r="H346">
            <v>4750000</v>
          </cell>
        </row>
        <row r="354">
          <cell r="H354">
            <v>556000</v>
          </cell>
        </row>
        <row r="357">
          <cell r="H357">
            <v>14473333</v>
          </cell>
        </row>
        <row r="361">
          <cell r="H361">
            <v>5720000</v>
          </cell>
        </row>
        <row r="367">
          <cell r="H367">
            <v>3000000</v>
          </cell>
        </row>
        <row r="373">
          <cell r="H373">
            <v>250000</v>
          </cell>
        </row>
        <row r="376">
          <cell r="H376">
            <v>15328678</v>
          </cell>
        </row>
        <row r="382">
          <cell r="H382">
            <v>7200000</v>
          </cell>
        </row>
        <row r="385">
          <cell r="H385">
            <v>1694000</v>
          </cell>
        </row>
        <row r="390">
          <cell r="H390">
            <v>200000</v>
          </cell>
        </row>
        <row r="394">
          <cell r="H394">
            <v>20964650</v>
          </cell>
        </row>
        <row r="507">
          <cell r="H507">
            <v>2971716</v>
          </cell>
        </row>
        <row r="547">
          <cell r="J547">
            <v>57106667</v>
          </cell>
        </row>
        <row r="548">
          <cell r="H548">
            <v>10640000</v>
          </cell>
        </row>
        <row r="551">
          <cell r="H551">
            <v>11416667</v>
          </cell>
        </row>
        <row r="554">
          <cell r="H554">
            <v>8000000</v>
          </cell>
        </row>
        <row r="557">
          <cell r="H557">
            <v>3000000</v>
          </cell>
        </row>
        <row r="560">
          <cell r="H560">
            <v>3000000</v>
          </cell>
        </row>
        <row r="565">
          <cell r="H565">
            <v>29606666</v>
          </cell>
        </row>
        <row r="572">
          <cell r="H572">
            <v>2800998</v>
          </cell>
        </row>
        <row r="576">
          <cell r="H576">
            <v>3499909</v>
          </cell>
        </row>
        <row r="581">
          <cell r="J581">
            <v>8227425</v>
          </cell>
        </row>
        <row r="590">
          <cell r="H590">
            <v>8586667</v>
          </cell>
        </row>
        <row r="607">
          <cell r="H607">
            <v>7913980</v>
          </cell>
        </row>
        <row r="610">
          <cell r="H610">
            <v>1978495</v>
          </cell>
        </row>
        <row r="613">
          <cell r="H613">
            <v>1978495</v>
          </cell>
        </row>
        <row r="616">
          <cell r="H616">
            <v>3950000</v>
          </cell>
        </row>
        <row r="619">
          <cell r="H619">
            <v>1200000</v>
          </cell>
        </row>
        <row r="624">
          <cell r="H624">
            <v>8000000</v>
          </cell>
        </row>
        <row r="630">
          <cell r="H630">
            <v>21982500</v>
          </cell>
        </row>
        <row r="636">
          <cell r="H636">
            <v>2578667</v>
          </cell>
        </row>
        <row r="645">
          <cell r="H645">
            <v>2578667</v>
          </cell>
        </row>
        <row r="654">
          <cell r="H654">
            <v>2578666</v>
          </cell>
        </row>
        <row r="663">
          <cell r="H663">
            <v>914000</v>
          </cell>
        </row>
        <row r="684">
          <cell r="H684">
            <v>100180410</v>
          </cell>
        </row>
        <row r="686">
          <cell r="Q686">
            <v>35000000</v>
          </cell>
          <cell r="S686">
            <v>90513962</v>
          </cell>
          <cell r="T686">
            <v>30433010</v>
          </cell>
          <cell r="U686">
            <v>23983000</v>
          </cell>
          <cell r="V686">
            <v>7537364</v>
          </cell>
          <cell r="AF686">
            <v>27000000</v>
          </cell>
        </row>
        <row r="687">
          <cell r="H687">
            <v>160000</v>
          </cell>
        </row>
        <row r="690">
          <cell r="H690">
            <v>180000</v>
          </cell>
        </row>
        <row r="693">
          <cell r="H693">
            <v>160000</v>
          </cell>
        </row>
        <row r="705">
          <cell r="H705">
            <v>1053364</v>
          </cell>
        </row>
        <row r="738">
          <cell r="H738">
            <v>1040700</v>
          </cell>
        </row>
        <row r="741">
          <cell r="H741">
            <v>320000</v>
          </cell>
        </row>
        <row r="744">
          <cell r="H744">
            <v>380000</v>
          </cell>
        </row>
        <row r="801">
          <cell r="H801">
            <v>2499710</v>
          </cell>
        </row>
        <row r="804">
          <cell r="H804">
            <v>450000</v>
          </cell>
        </row>
        <row r="807">
          <cell r="H807">
            <v>450000</v>
          </cell>
        </row>
        <row r="810">
          <cell r="H810">
            <v>572502</v>
          </cell>
        </row>
        <row r="896">
          <cell r="H896">
            <v>1000000</v>
          </cell>
        </row>
        <row r="899">
          <cell r="H899">
            <v>1000000</v>
          </cell>
        </row>
        <row r="902">
          <cell r="H902">
            <v>1000000</v>
          </cell>
        </row>
        <row r="920">
          <cell r="H920">
            <v>1000000</v>
          </cell>
        </row>
        <row r="956">
          <cell r="H956">
            <v>8000000</v>
          </cell>
        </row>
        <row r="962">
          <cell r="H962">
            <v>6599999</v>
          </cell>
        </row>
        <row r="968">
          <cell r="H968">
            <v>4666665</v>
          </cell>
        </row>
        <row r="977">
          <cell r="H977">
            <v>10000000</v>
          </cell>
        </row>
        <row r="1017">
          <cell r="H1017">
            <v>1484000</v>
          </cell>
        </row>
        <row r="1034">
          <cell r="H1034">
            <v>1038000</v>
          </cell>
        </row>
        <row r="1037">
          <cell r="H1037">
            <v>660000</v>
          </cell>
        </row>
        <row r="1040">
          <cell r="H1040">
            <v>420000</v>
          </cell>
        </row>
        <row r="1071">
          <cell r="H1071">
            <v>5405098</v>
          </cell>
        </row>
        <row r="1073">
          <cell r="S1073">
            <v>5415174</v>
          </cell>
        </row>
        <row r="1095">
          <cell r="H1095">
            <v>355912154</v>
          </cell>
        </row>
        <row r="1097">
          <cell r="S1097">
            <v>462139326</v>
          </cell>
          <cell r="Y1097">
            <v>270145086</v>
          </cell>
        </row>
        <row r="1146">
          <cell r="H1146">
            <v>400000</v>
          </cell>
        </row>
        <row r="1170">
          <cell r="H1170">
            <v>1440000</v>
          </cell>
        </row>
        <row r="1229">
          <cell r="H1229">
            <v>1120000</v>
          </cell>
        </row>
        <row r="1298">
          <cell r="H1298">
            <v>3600000</v>
          </cell>
        </row>
        <row r="1333">
          <cell r="H1333">
            <v>1120000</v>
          </cell>
        </row>
        <row r="1341">
          <cell r="H1341">
            <v>2100000</v>
          </cell>
        </row>
        <row r="1344">
          <cell r="H1344">
            <v>214286</v>
          </cell>
        </row>
        <row r="1347">
          <cell r="H1347">
            <v>224614</v>
          </cell>
        </row>
        <row r="1438">
          <cell r="H1438">
            <v>11500000</v>
          </cell>
        </row>
        <row r="1464">
          <cell r="H1464">
            <v>245271876</v>
          </cell>
        </row>
        <row r="1466">
          <cell r="S1466">
            <v>261428852</v>
          </cell>
        </row>
        <row r="1623">
          <cell r="H1623">
            <v>141220683</v>
          </cell>
        </row>
        <row r="1625">
          <cell r="S1625">
            <v>204308765</v>
          </cell>
        </row>
        <row r="1725">
          <cell r="H1725">
            <v>1520000</v>
          </cell>
        </row>
        <row r="1728">
          <cell r="H1728">
            <v>134000</v>
          </cell>
        </row>
        <row r="1731">
          <cell r="H1731">
            <v>14400</v>
          </cell>
        </row>
        <row r="1734">
          <cell r="H1734">
            <v>46400</v>
          </cell>
        </row>
        <row r="1739">
          <cell r="H1739">
            <v>26000</v>
          </cell>
        </row>
        <row r="1742">
          <cell r="H1742">
            <v>14000</v>
          </cell>
        </row>
        <row r="1745">
          <cell r="H1745">
            <v>900000</v>
          </cell>
        </row>
        <row r="1748">
          <cell r="H1748">
            <v>7865000</v>
          </cell>
        </row>
        <row r="1753">
          <cell r="H1753">
            <v>3634104</v>
          </cell>
        </row>
        <row r="1756">
          <cell r="H1756">
            <v>2280000</v>
          </cell>
        </row>
        <row r="1759">
          <cell r="H1759">
            <v>200000</v>
          </cell>
        </row>
        <row r="1762">
          <cell r="H1762">
            <v>686184</v>
          </cell>
        </row>
        <row r="1765">
          <cell r="H1765">
            <v>400000</v>
          </cell>
        </row>
        <row r="1768">
          <cell r="H1768">
            <v>104452664</v>
          </cell>
        </row>
        <row r="1770">
          <cell r="S1770">
            <v>251476551</v>
          </cell>
        </row>
        <row r="1799">
          <cell r="H1799">
            <v>1500000</v>
          </cell>
        </row>
        <row r="1802">
          <cell r="H1802">
            <v>1500000</v>
          </cell>
        </row>
        <row r="1851">
          <cell r="H1851">
            <v>1500000</v>
          </cell>
        </row>
        <row r="1855">
          <cell r="H1855">
            <v>1436000</v>
          </cell>
        </row>
        <row r="1864">
          <cell r="H1864">
            <v>48673749</v>
          </cell>
        </row>
        <row r="1866">
          <cell r="S1866">
            <v>43720961</v>
          </cell>
          <cell r="Y1866">
            <v>12260000</v>
          </cell>
          <cell r="AF1866">
            <v>22312653</v>
          </cell>
        </row>
        <row r="1871">
          <cell r="H1871">
            <v>3000000</v>
          </cell>
        </row>
        <row r="1876">
          <cell r="H1876">
            <v>1000000</v>
          </cell>
        </row>
        <row r="1879">
          <cell r="H1879">
            <v>1312653</v>
          </cell>
        </row>
        <row r="1883">
          <cell r="H1883">
            <v>1500000</v>
          </cell>
        </row>
        <row r="1904">
          <cell r="H1904">
            <v>2500000</v>
          </cell>
        </row>
        <row r="1930">
          <cell r="H1930">
            <v>1250000</v>
          </cell>
        </row>
        <row r="1945">
          <cell r="H1945">
            <v>1700000</v>
          </cell>
        </row>
        <row r="1962">
          <cell r="H1962">
            <v>4600000</v>
          </cell>
        </row>
        <row r="1970">
          <cell r="H1970">
            <v>1060000</v>
          </cell>
        </row>
        <row r="1975">
          <cell r="H1975">
            <v>7000000</v>
          </cell>
        </row>
        <row r="1981">
          <cell r="H1981">
            <v>50726525</v>
          </cell>
        </row>
        <row r="1983">
          <cell r="S1983">
            <v>16000000</v>
          </cell>
          <cell r="AF1983">
            <v>32705000</v>
          </cell>
        </row>
        <row r="1987">
          <cell r="H1987">
            <v>1680000</v>
          </cell>
        </row>
        <row r="1990">
          <cell r="H1990">
            <v>8233944</v>
          </cell>
        </row>
        <row r="1996">
          <cell r="H1996">
            <v>9872300</v>
          </cell>
        </row>
        <row r="2018">
          <cell r="H2018">
            <v>4431483</v>
          </cell>
        </row>
        <row r="2030">
          <cell r="H2030">
            <v>1000000</v>
          </cell>
        </row>
        <row r="2033">
          <cell r="H2033">
            <v>5000000</v>
          </cell>
        </row>
        <row r="2065">
          <cell r="H2065">
            <v>850000</v>
          </cell>
        </row>
        <row r="2082">
          <cell r="H2082">
            <v>294080697</v>
          </cell>
        </row>
        <row r="2084">
          <cell r="S2084">
            <v>232610113</v>
          </cell>
        </row>
        <row r="2122">
          <cell r="H2122">
            <v>40000000</v>
          </cell>
        </row>
        <row r="2199">
          <cell r="H2199">
            <v>5000000</v>
          </cell>
        </row>
        <row r="2218">
          <cell r="H2218">
            <v>24999400</v>
          </cell>
        </row>
        <row r="2232">
          <cell r="H2232">
            <v>6930000</v>
          </cell>
        </row>
        <row r="2260">
          <cell r="H2260">
            <v>239142508</v>
          </cell>
        </row>
        <row r="2262">
          <cell r="S2262">
            <v>247978648</v>
          </cell>
        </row>
        <row r="2266">
          <cell r="H2266">
            <v>10000000</v>
          </cell>
        </row>
        <row r="2297">
          <cell r="H2297">
            <v>13106329</v>
          </cell>
        </row>
        <row r="2300">
          <cell r="H2300">
            <v>1800000</v>
          </cell>
        </row>
        <row r="2303">
          <cell r="H2303">
            <v>180000</v>
          </cell>
        </row>
        <row r="2306">
          <cell r="H2306">
            <v>405000</v>
          </cell>
        </row>
        <row r="2309">
          <cell r="H2309">
            <v>4000000</v>
          </cell>
        </row>
        <row r="2312">
          <cell r="H2312">
            <v>4198674</v>
          </cell>
        </row>
        <row r="2316">
          <cell r="H2316">
            <v>90000</v>
          </cell>
        </row>
        <row r="2319">
          <cell r="H2319">
            <v>300000</v>
          </cell>
        </row>
        <row r="2322">
          <cell r="H2322">
            <v>353738</v>
          </cell>
        </row>
        <row r="2353">
          <cell r="H2353">
            <v>8830472</v>
          </cell>
        </row>
        <row r="2368">
          <cell r="H2368">
            <v>989000</v>
          </cell>
        </row>
        <row r="2371">
          <cell r="H2371">
            <v>1780000</v>
          </cell>
        </row>
        <row r="2381">
          <cell r="H2381">
            <v>7200000</v>
          </cell>
        </row>
        <row r="2398">
          <cell r="H2398">
            <v>8000000</v>
          </cell>
        </row>
        <row r="2401">
          <cell r="H2401">
            <v>3169528</v>
          </cell>
        </row>
        <row r="2404">
          <cell r="H2404">
            <v>2533333</v>
          </cell>
        </row>
        <row r="2423">
          <cell r="H2423">
            <v>1489658</v>
          </cell>
        </row>
        <row r="2429">
          <cell r="H2429">
            <v>10000000</v>
          </cell>
        </row>
        <row r="2433">
          <cell r="H2433">
            <v>1738094</v>
          </cell>
        </row>
        <row r="2554">
          <cell r="H2554">
            <v>3300000</v>
          </cell>
        </row>
        <row r="2558">
          <cell r="S2558">
            <v>81210337</v>
          </cell>
          <cell r="AF2558">
            <v>6000000</v>
          </cell>
        </row>
        <row r="2594">
          <cell r="H2594">
            <v>316144107</v>
          </cell>
        </row>
        <row r="2597">
          <cell r="H2597">
            <v>11400000</v>
          </cell>
        </row>
        <row r="2600">
          <cell r="H2600">
            <v>12000000</v>
          </cell>
        </row>
        <row r="2604">
          <cell r="H2604">
            <v>5100000</v>
          </cell>
        </row>
        <row r="2607">
          <cell r="H2607">
            <v>9016667</v>
          </cell>
        </row>
        <row r="2611">
          <cell r="H2611">
            <v>3312464</v>
          </cell>
        </row>
        <row r="2614">
          <cell r="H2614">
            <v>21000000</v>
          </cell>
        </row>
        <row r="2619">
          <cell r="H2619">
            <v>8000000</v>
          </cell>
        </row>
        <row r="2622">
          <cell r="H2622">
            <v>61086564</v>
          </cell>
        </row>
        <row r="2653">
          <cell r="H2653">
            <v>15910000</v>
          </cell>
        </row>
        <row r="2667">
          <cell r="H2667">
            <v>468994732</v>
          </cell>
        </row>
        <row r="2669">
          <cell r="AC2669">
            <v>467767409</v>
          </cell>
        </row>
        <row r="2674">
          <cell r="H2674">
            <v>6810000</v>
          </cell>
        </row>
        <row r="2719">
          <cell r="H2719">
            <v>10664001</v>
          </cell>
        </row>
        <row r="2724">
          <cell r="H2724">
            <v>12333333</v>
          </cell>
        </row>
        <row r="2730">
          <cell r="H2730">
            <v>11000000</v>
          </cell>
        </row>
        <row r="2736">
          <cell r="H2736">
            <v>19841295</v>
          </cell>
        </row>
        <row r="2749">
          <cell r="H2749">
            <v>5713920</v>
          </cell>
        </row>
        <row r="2756">
          <cell r="H2756">
            <v>1935531</v>
          </cell>
        </row>
        <row r="2764">
          <cell r="H2764">
            <v>5000000</v>
          </cell>
        </row>
        <row r="2768">
          <cell r="H2768">
            <v>16000000</v>
          </cell>
        </row>
        <row r="2777">
          <cell r="H2777">
            <v>11610000</v>
          </cell>
        </row>
        <row r="2780">
          <cell r="H2780">
            <v>6134600</v>
          </cell>
        </row>
        <row r="2820">
          <cell r="H2820">
            <v>888102</v>
          </cell>
        </row>
        <row r="2824">
          <cell r="H2824">
            <v>1000000</v>
          </cell>
        </row>
        <row r="2831">
          <cell r="H2831">
            <v>1891640</v>
          </cell>
        </row>
        <row r="2840">
          <cell r="H2840">
            <v>15000000</v>
          </cell>
        </row>
        <row r="2852">
          <cell r="H2852">
            <v>9999920</v>
          </cell>
        </row>
        <row r="2876">
          <cell r="H2876">
            <v>6700000</v>
          </cell>
        </row>
        <row r="2898">
          <cell r="H2898">
            <v>1450810</v>
          </cell>
        </row>
        <row r="2901">
          <cell r="H2901">
            <v>2873390</v>
          </cell>
        </row>
        <row r="2903">
          <cell r="S2903">
            <v>6500000</v>
          </cell>
        </row>
        <row r="2914">
          <cell r="H2914">
            <v>2067839483</v>
          </cell>
        </row>
        <row r="2916">
          <cell r="W2916">
            <v>2416797262</v>
          </cell>
          <cell r="X2916">
            <v>52343162</v>
          </cell>
        </row>
        <row r="3191">
          <cell r="H3191">
            <v>3500000</v>
          </cell>
        </row>
        <row r="3209">
          <cell r="H3209">
            <v>384478</v>
          </cell>
        </row>
        <row r="3339">
          <cell r="H3339">
            <v>17919995</v>
          </cell>
        </row>
        <row r="3352">
          <cell r="H3352">
            <v>1656329</v>
          </cell>
        </row>
        <row r="3367">
          <cell r="H3367">
            <v>1023162</v>
          </cell>
        </row>
        <row r="3414">
          <cell r="H3414">
            <v>15000000</v>
          </cell>
        </row>
        <row r="3431">
          <cell r="H3431">
            <v>2500000</v>
          </cell>
        </row>
        <row r="3434">
          <cell r="H3434">
            <v>1300000</v>
          </cell>
        </row>
        <row r="3437">
          <cell r="H3437">
            <v>1200000</v>
          </cell>
        </row>
        <row r="3440">
          <cell r="H3440">
            <v>7999992</v>
          </cell>
        </row>
        <row r="3744">
          <cell r="H3744">
            <v>400000</v>
          </cell>
        </row>
        <row r="3758">
          <cell r="H3758">
            <v>19366666</v>
          </cell>
        </row>
        <row r="3761">
          <cell r="H3761">
            <v>4933333</v>
          </cell>
        </row>
        <row r="3764">
          <cell r="H3764">
            <v>11613329</v>
          </cell>
        </row>
        <row r="3767">
          <cell r="H3767">
            <v>47411011</v>
          </cell>
        </row>
        <row r="3770">
          <cell r="H3770">
            <v>20482000</v>
          </cell>
        </row>
        <row r="3775">
          <cell r="H3775">
            <v>11363333</v>
          </cell>
        </row>
        <row r="3779">
          <cell r="H3779">
            <v>8970000</v>
          </cell>
        </row>
        <row r="3784">
          <cell r="H3784">
            <v>4048560</v>
          </cell>
        </row>
        <row r="3800">
          <cell r="X3800">
            <v>40000000</v>
          </cell>
          <cell r="AF3800">
            <v>69437385</v>
          </cell>
        </row>
        <row r="3801">
          <cell r="H3801">
            <v>4100000</v>
          </cell>
        </row>
        <row r="3804">
          <cell r="H3804">
            <v>7596666</v>
          </cell>
        </row>
        <row r="3807">
          <cell r="H3807">
            <v>5999999</v>
          </cell>
        </row>
        <row r="3810">
          <cell r="H3810">
            <v>23396202</v>
          </cell>
        </row>
        <row r="3813">
          <cell r="H3813">
            <v>11780500</v>
          </cell>
        </row>
        <row r="3817">
          <cell r="H3817">
            <v>4050000</v>
          </cell>
        </row>
        <row r="3822">
          <cell r="H3822">
            <v>7000000</v>
          </cell>
        </row>
        <row r="3825">
          <cell r="H3825">
            <v>3000000</v>
          </cell>
        </row>
        <row r="3828">
          <cell r="H3828">
            <v>10083165</v>
          </cell>
        </row>
        <row r="3833">
          <cell r="H3833">
            <v>20969401</v>
          </cell>
        </row>
        <row r="3838">
          <cell r="H3838">
            <v>5450400</v>
          </cell>
        </row>
        <row r="3846">
          <cell r="H3846">
            <v>5535709</v>
          </cell>
        </row>
        <row r="3855">
          <cell r="X3855">
            <v>21815160</v>
          </cell>
        </row>
        <row r="3856">
          <cell r="H3856">
            <v>23000000</v>
          </cell>
        </row>
        <row r="3861">
          <cell r="H3861">
            <v>9400000</v>
          </cell>
        </row>
        <row r="3864">
          <cell r="H3864">
            <v>9446640</v>
          </cell>
        </row>
        <row r="3894">
          <cell r="H3894">
            <v>40000</v>
          </cell>
        </row>
        <row r="3897">
          <cell r="H3897">
            <v>200000</v>
          </cell>
        </row>
        <row r="3900">
          <cell r="H3900">
            <v>20000</v>
          </cell>
        </row>
        <row r="3903">
          <cell r="H3903">
            <v>200000</v>
          </cell>
        </row>
        <row r="3906">
          <cell r="H3906">
            <v>5000000</v>
          </cell>
        </row>
        <row r="3925">
          <cell r="H3925">
            <v>2751000</v>
          </cell>
        </row>
        <row r="3928">
          <cell r="H3928">
            <v>600000</v>
          </cell>
        </row>
        <row r="3931">
          <cell r="H3931">
            <v>29999997</v>
          </cell>
        </row>
        <row r="3939">
          <cell r="H3939">
            <v>13239000</v>
          </cell>
        </row>
        <row r="3942">
          <cell r="H3942">
            <v>890994</v>
          </cell>
        </row>
        <row r="3945">
          <cell r="H3945">
            <v>2721599</v>
          </cell>
        </row>
        <row r="3948">
          <cell r="H3948">
            <v>3202559</v>
          </cell>
        </row>
        <row r="3951">
          <cell r="H3951">
            <v>7999997</v>
          </cell>
        </row>
        <row r="3954">
          <cell r="H3954">
            <v>3700000</v>
          </cell>
        </row>
        <row r="3969">
          <cell r="H3969">
            <v>5000000</v>
          </cell>
        </row>
        <row r="3973">
          <cell r="H3973">
            <v>2150000</v>
          </cell>
        </row>
        <row r="3976">
          <cell r="H3976">
            <v>4721408</v>
          </cell>
        </row>
        <row r="3980">
          <cell r="H3980">
            <v>8097120</v>
          </cell>
        </row>
        <row r="4010">
          <cell r="H4010">
            <v>3350000</v>
          </cell>
        </row>
        <row r="4037">
          <cell r="H4037">
            <v>500000</v>
          </cell>
        </row>
        <row r="4089">
          <cell r="H4089">
            <v>600000</v>
          </cell>
        </row>
        <row r="4092">
          <cell r="H4092">
            <v>1400000</v>
          </cell>
        </row>
        <row r="4095">
          <cell r="H4095">
            <v>3000000</v>
          </cell>
        </row>
        <row r="4098">
          <cell r="H4098">
            <v>14413400</v>
          </cell>
        </row>
        <row r="4114">
          <cell r="H4114">
            <v>957000</v>
          </cell>
        </row>
        <row r="4117">
          <cell r="H4117">
            <v>2000000</v>
          </cell>
        </row>
        <row r="4120">
          <cell r="H4120">
            <v>1039120</v>
          </cell>
        </row>
        <row r="4123">
          <cell r="H4123">
            <v>1156850</v>
          </cell>
        </row>
        <row r="4126">
          <cell r="H4126">
            <v>3643397</v>
          </cell>
        </row>
        <row r="4136">
          <cell r="H4136">
            <v>682000</v>
          </cell>
        </row>
        <row r="4145">
          <cell r="H4145">
            <v>1200000</v>
          </cell>
        </row>
        <row r="4148">
          <cell r="H4148">
            <v>1251000</v>
          </cell>
        </row>
        <row r="4151">
          <cell r="H4151">
            <v>1000000</v>
          </cell>
        </row>
        <row r="4158">
          <cell r="H4158">
            <v>3990000</v>
          </cell>
        </row>
        <row r="4161">
          <cell r="H4161">
            <v>54919996</v>
          </cell>
        </row>
        <row r="4168">
          <cell r="H4168">
            <v>1602129</v>
          </cell>
        </row>
        <row r="4179">
          <cell r="H4179">
            <v>1235220</v>
          </cell>
        </row>
        <row r="4190">
          <cell r="H4190">
            <v>950000</v>
          </cell>
        </row>
        <row r="4201">
          <cell r="H4201">
            <v>36089999</v>
          </cell>
        </row>
        <row r="4206">
          <cell r="H4206">
            <v>19123330</v>
          </cell>
        </row>
        <row r="4212">
          <cell r="H4212">
            <v>21650000</v>
          </cell>
        </row>
        <row r="4215">
          <cell r="H4215">
            <v>6599999</v>
          </cell>
        </row>
        <row r="4286">
          <cell r="H4286">
            <v>20449995</v>
          </cell>
        </row>
        <row r="4290">
          <cell r="H4290">
            <v>1925667</v>
          </cell>
        </row>
        <row r="4293">
          <cell r="H4293">
            <v>7500000</v>
          </cell>
        </row>
        <row r="4298">
          <cell r="H4298">
            <v>10000000</v>
          </cell>
        </row>
        <row r="4301">
          <cell r="H4301">
            <v>5000000</v>
          </cell>
        </row>
        <row r="4305">
          <cell r="H4305">
            <v>15746085</v>
          </cell>
        </row>
        <row r="4358">
          <cell r="H4358">
            <v>1023526203</v>
          </cell>
        </row>
        <row r="4360">
          <cell r="AD4360">
            <v>135819660</v>
          </cell>
          <cell r="AF4360">
            <v>683027552</v>
          </cell>
        </row>
        <row r="4376">
          <cell r="H4376">
            <v>56349996</v>
          </cell>
        </row>
        <row r="4416">
          <cell r="H4416">
            <v>11220000</v>
          </cell>
        </row>
        <row r="4437">
          <cell r="H4437">
            <v>12799998</v>
          </cell>
        </row>
        <row r="4440">
          <cell r="H4440">
            <v>2000000</v>
          </cell>
        </row>
        <row r="4473">
          <cell r="H4473">
            <v>8000000</v>
          </cell>
        </row>
        <row r="4476">
          <cell r="H4476">
            <v>3225600</v>
          </cell>
        </row>
        <row r="4483">
          <cell r="H4483">
            <v>7999998</v>
          </cell>
        </row>
        <row r="4486">
          <cell r="H4486">
            <v>7999998</v>
          </cell>
        </row>
        <row r="4517">
          <cell r="H4517">
            <v>1935360</v>
          </cell>
        </row>
        <row r="4521">
          <cell r="H4521">
            <v>1800000</v>
          </cell>
        </row>
        <row r="4525">
          <cell r="H4525">
            <v>1200000</v>
          </cell>
        </row>
        <row r="4529">
          <cell r="H4529">
            <v>3000000</v>
          </cell>
        </row>
        <row r="4580">
          <cell r="H4580">
            <v>657729</v>
          </cell>
        </row>
        <row r="4583">
          <cell r="H4583">
            <v>945000</v>
          </cell>
        </row>
        <row r="4586">
          <cell r="H4586">
            <v>690000</v>
          </cell>
        </row>
        <row r="4591">
          <cell r="H4591">
            <v>2574000</v>
          </cell>
        </row>
        <row r="4596">
          <cell r="H4596">
            <v>2736000</v>
          </cell>
        </row>
        <row r="4624">
          <cell r="H4624">
            <v>8000000</v>
          </cell>
        </row>
        <row r="4635">
          <cell r="H4635">
            <v>59494823</v>
          </cell>
        </row>
        <row r="4644">
          <cell r="H4644">
            <v>3886666</v>
          </cell>
        </row>
        <row r="4647">
          <cell r="H4647">
            <v>2285000</v>
          </cell>
        </row>
        <row r="4688">
          <cell r="H4688">
            <v>600000</v>
          </cell>
        </row>
        <row r="4691">
          <cell r="H4691">
            <v>799000</v>
          </cell>
        </row>
        <row r="4738">
          <cell r="H4738">
            <v>1344000</v>
          </cell>
        </row>
        <row r="4742">
          <cell r="H4742">
            <v>12552960</v>
          </cell>
        </row>
        <row r="4764">
          <cell r="H4764">
            <v>1720320</v>
          </cell>
        </row>
        <row r="4770">
          <cell r="H4770">
            <v>2430104</v>
          </cell>
        </row>
        <row r="4773">
          <cell r="H4773">
            <v>1200000</v>
          </cell>
        </row>
        <row r="4778">
          <cell r="H4778">
            <v>838656</v>
          </cell>
        </row>
        <row r="4781">
          <cell r="H4781">
            <v>1612800</v>
          </cell>
        </row>
        <row r="4785">
          <cell r="H4785">
            <v>2880000</v>
          </cell>
        </row>
        <row r="4788">
          <cell r="H4788">
            <v>2134272</v>
          </cell>
        </row>
        <row r="4797">
          <cell r="H4797">
            <v>37736445</v>
          </cell>
        </row>
        <row r="4803">
          <cell r="H4803">
            <v>27766852</v>
          </cell>
        </row>
        <row r="4843">
          <cell r="H4843">
            <v>1408138</v>
          </cell>
        </row>
        <row r="4850">
          <cell r="H4850">
            <v>4660000</v>
          </cell>
        </row>
        <row r="4855">
          <cell r="H4855">
            <v>1558900</v>
          </cell>
        </row>
        <row r="4858">
          <cell r="H4858">
            <v>725000</v>
          </cell>
        </row>
        <row r="4861">
          <cell r="H4861">
            <v>1500000</v>
          </cell>
        </row>
        <row r="4864">
          <cell r="H4864">
            <v>2000000</v>
          </cell>
        </row>
        <row r="4868">
          <cell r="H4868">
            <v>1612800</v>
          </cell>
        </row>
        <row r="4884">
          <cell r="H4884">
            <v>499968</v>
          </cell>
        </row>
        <row r="4887">
          <cell r="H4887">
            <v>3000000</v>
          </cell>
        </row>
        <row r="4892">
          <cell r="H4892">
            <v>300000</v>
          </cell>
        </row>
        <row r="4895">
          <cell r="H4895">
            <v>396300</v>
          </cell>
        </row>
        <row r="4898">
          <cell r="H4898">
            <v>429700</v>
          </cell>
        </row>
        <row r="4924">
          <cell r="H4924">
            <v>1350000</v>
          </cell>
        </row>
        <row r="4928">
          <cell r="H4928">
            <v>691304</v>
          </cell>
        </row>
        <row r="4932">
          <cell r="H4932">
            <v>545385</v>
          </cell>
        </row>
        <row r="4936">
          <cell r="H4936">
            <v>2663900</v>
          </cell>
        </row>
        <row r="4998">
          <cell r="H4998">
            <v>1720320</v>
          </cell>
        </row>
        <row r="5120">
          <cell r="H5120">
            <v>50750936</v>
          </cell>
        </row>
        <row r="5164">
          <cell r="H5164">
            <v>1182742246</v>
          </cell>
        </row>
        <row r="5254">
          <cell r="H5254">
            <v>4499978</v>
          </cell>
        </row>
        <row r="5258">
          <cell r="H5258">
            <v>2900206</v>
          </cell>
        </row>
        <row r="5375">
          <cell r="H5375">
            <v>98931065</v>
          </cell>
        </row>
        <row r="5385">
          <cell r="H5385">
            <v>3000000</v>
          </cell>
        </row>
        <row r="5415">
          <cell r="H5415">
            <v>5766666</v>
          </cell>
        </row>
        <row r="5447">
          <cell r="H5447">
            <v>29706596</v>
          </cell>
        </row>
        <row r="5454">
          <cell r="H5454">
            <v>148962236</v>
          </cell>
        </row>
        <row r="5470">
          <cell r="H5470">
            <v>2013646</v>
          </cell>
        </row>
        <row r="5477">
          <cell r="H5477">
            <v>1578278</v>
          </cell>
        </row>
        <row r="5480">
          <cell r="H5480">
            <v>29965762</v>
          </cell>
        </row>
        <row r="5487">
          <cell r="H5487">
            <v>5103000</v>
          </cell>
        </row>
        <row r="5491">
          <cell r="H5491">
            <v>11439850</v>
          </cell>
        </row>
        <row r="5496">
          <cell r="H5496">
            <v>19994600</v>
          </cell>
        </row>
        <row r="5505">
          <cell r="H5505">
            <v>1518672</v>
          </cell>
        </row>
        <row r="5509">
          <cell r="H5509">
            <v>1260000</v>
          </cell>
        </row>
        <row r="5513">
          <cell r="H5513">
            <v>18000</v>
          </cell>
        </row>
        <row r="5517">
          <cell r="H5517">
            <v>540000</v>
          </cell>
        </row>
        <row r="5520">
          <cell r="H5520">
            <v>36443972</v>
          </cell>
        </row>
        <row r="5522">
          <cell r="J5522">
            <v>43060000</v>
          </cell>
        </row>
        <row r="5572">
          <cell r="AF5572">
            <v>94727222</v>
          </cell>
        </row>
        <row r="5636">
          <cell r="H5636">
            <v>4650000</v>
          </cell>
        </row>
        <row r="5649">
          <cell r="H5649">
            <v>2000000</v>
          </cell>
        </row>
        <row r="5652">
          <cell r="H5652">
            <v>5999999</v>
          </cell>
        </row>
        <row r="5657">
          <cell r="J5657">
            <v>5660000</v>
          </cell>
          <cell r="X5657">
            <v>10000000</v>
          </cell>
        </row>
        <row r="5714">
          <cell r="H5714">
            <v>3996667</v>
          </cell>
        </row>
        <row r="5719">
          <cell r="H5719">
            <v>3446666</v>
          </cell>
        </row>
        <row r="5721">
          <cell r="AB5721">
            <v>6365500</v>
          </cell>
        </row>
        <row r="5801">
          <cell r="H5801">
            <v>4983002</v>
          </cell>
        </row>
        <row r="5804">
          <cell r="H5804">
            <v>291175000</v>
          </cell>
        </row>
        <row r="5894">
          <cell r="H5894">
            <v>102004156</v>
          </cell>
        </row>
        <row r="5901">
          <cell r="H5901">
            <v>91580000</v>
          </cell>
        </row>
        <row r="5924">
          <cell r="H5924">
            <v>81447684</v>
          </cell>
        </row>
        <row r="5934">
          <cell r="H5934">
            <v>118800</v>
          </cell>
        </row>
        <row r="5937">
          <cell r="H5937">
            <v>15000</v>
          </cell>
        </row>
        <row r="5940">
          <cell r="H5940">
            <v>1350000</v>
          </cell>
        </row>
        <row r="5943">
          <cell r="H5943">
            <v>12000</v>
          </cell>
        </row>
        <row r="5946">
          <cell r="H5946">
            <v>684000</v>
          </cell>
        </row>
        <row r="5949">
          <cell r="H5949">
            <v>156000</v>
          </cell>
        </row>
        <row r="5952">
          <cell r="H5952">
            <v>9000</v>
          </cell>
        </row>
        <row r="5955">
          <cell r="H5955">
            <v>6250</v>
          </cell>
        </row>
        <row r="5958">
          <cell r="H5958">
            <v>60895001</v>
          </cell>
        </row>
        <row r="6035">
          <cell r="H6035">
            <v>3000000</v>
          </cell>
        </row>
        <row r="6041">
          <cell r="H6041">
            <v>99721087</v>
          </cell>
        </row>
        <row r="6043">
          <cell r="AA6043">
            <v>38400000</v>
          </cell>
          <cell r="AF6043">
            <v>55362850</v>
          </cell>
        </row>
        <row r="6047">
          <cell r="H6047">
            <v>12000000</v>
          </cell>
        </row>
        <row r="6050">
          <cell r="H6050">
            <v>6000000</v>
          </cell>
        </row>
        <row r="6055">
          <cell r="H6055">
            <v>4080000</v>
          </cell>
        </row>
        <row r="6061">
          <cell r="H6061">
            <v>1500000</v>
          </cell>
        </row>
        <row r="6068">
          <cell r="H6068">
            <v>4989042</v>
          </cell>
        </row>
        <row r="6077">
          <cell r="H6077">
            <v>1920000</v>
          </cell>
        </row>
        <row r="6083">
          <cell r="H6083">
            <v>6279312</v>
          </cell>
        </row>
        <row r="6088">
          <cell r="H6088">
            <v>550200</v>
          </cell>
        </row>
        <row r="6091">
          <cell r="H6091">
            <v>9449200</v>
          </cell>
        </row>
        <row r="6190">
          <cell r="H6190">
            <v>688276862</v>
          </cell>
        </row>
        <row r="6219">
          <cell r="H6219">
            <v>3010560</v>
          </cell>
        </row>
        <row r="6228">
          <cell r="H6228">
            <v>1021440</v>
          </cell>
        </row>
        <row r="6242">
          <cell r="H6242">
            <v>21772800</v>
          </cell>
        </row>
        <row r="6271">
          <cell r="H6271">
            <v>131328000</v>
          </cell>
        </row>
        <row r="6320">
          <cell r="H6320">
            <v>68058000</v>
          </cell>
        </row>
        <row r="6345">
          <cell r="H6345">
            <v>11904000</v>
          </cell>
        </row>
        <row r="6350">
          <cell r="H6350">
            <v>27086667</v>
          </cell>
        </row>
        <row r="6382">
          <cell r="H6382">
            <v>9863400</v>
          </cell>
        </row>
        <row r="6385">
          <cell r="H6385">
            <v>42840000</v>
          </cell>
        </row>
        <row r="6392">
          <cell r="H6392">
            <v>6466667</v>
          </cell>
        </row>
        <row r="6397">
          <cell r="H6397">
            <v>15405000</v>
          </cell>
        </row>
        <row r="6402">
          <cell r="H6402">
            <v>4225000</v>
          </cell>
        </row>
        <row r="6405">
          <cell r="H6405">
            <v>1833333</v>
          </cell>
        </row>
        <row r="6408">
          <cell r="H6408">
            <v>1723333</v>
          </cell>
        </row>
        <row r="6411">
          <cell r="H6411">
            <v>71421000</v>
          </cell>
        </row>
        <row r="6435">
          <cell r="H6435">
            <v>3000000</v>
          </cell>
        </row>
        <row r="6440">
          <cell r="H6440">
            <v>4166666</v>
          </cell>
        </row>
        <row r="6443">
          <cell r="H6443">
            <v>11888000</v>
          </cell>
        </row>
        <row r="6446">
          <cell r="H6446">
            <v>10583333</v>
          </cell>
        </row>
        <row r="6451">
          <cell r="H6451">
            <v>224520000</v>
          </cell>
        </row>
        <row r="6454">
          <cell r="H6454">
            <v>99663333</v>
          </cell>
        </row>
        <row r="6464">
          <cell r="H6464">
            <v>9180000</v>
          </cell>
        </row>
        <row r="6478">
          <cell r="H6478">
            <v>600000</v>
          </cell>
        </row>
        <row r="6481">
          <cell r="H6481">
            <v>5820000</v>
          </cell>
        </row>
        <row r="6502">
          <cell r="M6502">
            <v>565034867</v>
          </cell>
          <cell r="V6502">
            <v>252195455</v>
          </cell>
        </row>
        <row r="6546">
          <cell r="J6546">
            <v>44011594</v>
          </cell>
          <cell r="M6546">
            <v>437431833</v>
          </cell>
          <cell r="X6546">
            <v>403999498</v>
          </cell>
        </row>
        <row r="6551">
          <cell r="H6551">
            <v>9838770</v>
          </cell>
        </row>
        <row r="6554">
          <cell r="H6554">
            <v>13021449</v>
          </cell>
        </row>
        <row r="6559">
          <cell r="H6559">
            <v>334123055</v>
          </cell>
        </row>
        <row r="6562">
          <cell r="H6562">
            <v>5000000</v>
          </cell>
        </row>
        <row r="6565">
          <cell r="H6565">
            <v>1500000</v>
          </cell>
        </row>
        <row r="6568">
          <cell r="H6568">
            <v>490000</v>
          </cell>
        </row>
        <row r="6573">
          <cell r="H6573">
            <v>10000000</v>
          </cell>
        </row>
        <row r="6576">
          <cell r="H6576">
            <v>5000000</v>
          </cell>
        </row>
        <row r="6600">
          <cell r="H6600">
            <v>143515050</v>
          </cell>
        </row>
        <row r="6612">
          <cell r="J6612">
            <v>50000000</v>
          </cell>
          <cell r="M6612">
            <v>444413875</v>
          </cell>
          <cell r="AE6612">
            <v>46954549</v>
          </cell>
          <cell r="AF6612">
            <v>44951392</v>
          </cell>
        </row>
        <row r="6613">
          <cell r="H6613">
            <v>16380668</v>
          </cell>
        </row>
        <row r="6616">
          <cell r="H6616">
            <v>3037500</v>
          </cell>
        </row>
        <row r="6621">
          <cell r="H6621">
            <v>2956542</v>
          </cell>
        </row>
        <row r="6624">
          <cell r="H6624">
            <v>26821410</v>
          </cell>
        </row>
        <row r="6627">
          <cell r="H6627">
            <v>9767996</v>
          </cell>
        </row>
        <row r="6632">
          <cell r="H6632">
            <v>7834960</v>
          </cell>
        </row>
        <row r="6635">
          <cell r="H6635">
            <v>392700</v>
          </cell>
        </row>
        <row r="6682">
          <cell r="H6682">
            <v>6648900</v>
          </cell>
        </row>
        <row r="6684">
          <cell r="M6684">
            <v>21920000</v>
          </cell>
          <cell r="AF6684">
            <v>11049107</v>
          </cell>
        </row>
        <row r="6697">
          <cell r="M6697">
            <v>36556762</v>
          </cell>
        </row>
        <row r="6718">
          <cell r="M6718">
            <v>611933066</v>
          </cell>
        </row>
        <row r="6719">
          <cell r="H6719">
            <v>9683982</v>
          </cell>
        </row>
        <row r="6728">
          <cell r="H6728">
            <v>545000</v>
          </cell>
        </row>
        <row r="6735">
          <cell r="H6735">
            <v>96520900</v>
          </cell>
        </row>
        <row r="6769">
          <cell r="H6769">
            <v>11842677</v>
          </cell>
        </row>
        <row r="6777">
          <cell r="G6777">
            <v>19000000</v>
          </cell>
        </row>
        <row r="6779">
          <cell r="G6779">
            <v>5616800</v>
          </cell>
        </row>
        <row r="6781">
          <cell r="H6781">
            <v>11965450</v>
          </cell>
        </row>
        <row r="6783">
          <cell r="M6783">
            <v>282606679</v>
          </cell>
        </row>
        <row r="6793">
          <cell r="H6793">
            <v>1440000</v>
          </cell>
        </row>
        <row r="6808">
          <cell r="H6808">
            <v>64086002</v>
          </cell>
        </row>
        <row r="6847">
          <cell r="G6847">
            <v>5000000</v>
          </cell>
        </row>
        <row r="6849">
          <cell r="H6849">
            <v>6089390</v>
          </cell>
        </row>
        <row r="6911">
          <cell r="G6911">
            <v>8474786</v>
          </cell>
        </row>
        <row r="6915">
          <cell r="X6915">
            <v>319973409</v>
          </cell>
          <cell r="AF6915">
            <v>63066610</v>
          </cell>
        </row>
        <row r="6927">
          <cell r="H6927">
            <v>14461200</v>
          </cell>
        </row>
        <row r="6960">
          <cell r="H6960">
            <v>19634000</v>
          </cell>
        </row>
        <row r="7036">
          <cell r="H7036">
            <v>87974697</v>
          </cell>
        </row>
        <row r="7061">
          <cell r="H7061">
            <v>21083980</v>
          </cell>
        </row>
        <row r="7067">
          <cell r="H7067">
            <v>79956600</v>
          </cell>
        </row>
        <row r="7077">
          <cell r="H7077">
            <v>82861933</v>
          </cell>
        </row>
        <row r="7093">
          <cell r="M7093">
            <v>281631784</v>
          </cell>
          <cell r="AF7093">
            <v>8000000</v>
          </cell>
        </row>
        <row r="7251">
          <cell r="H7251">
            <v>5373333</v>
          </cell>
        </row>
        <row r="7300">
          <cell r="G7300">
            <v>1600000</v>
          </cell>
        </row>
        <row r="7301">
          <cell r="H7301">
            <v>1600000</v>
          </cell>
        </row>
        <row r="7387">
          <cell r="H7387">
            <v>71183284</v>
          </cell>
        </row>
        <row r="7422">
          <cell r="H7422">
            <v>2200000</v>
          </cell>
        </row>
        <row r="7425">
          <cell r="H7425">
            <v>5000000</v>
          </cell>
        </row>
        <row r="7463">
          <cell r="H7463">
            <v>2200000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133">
          <cell r="J133">
            <v>100000000</v>
          </cell>
        </row>
        <row r="202">
          <cell r="J202">
            <v>117117235</v>
          </cell>
        </row>
        <row r="362">
          <cell r="AF362">
            <v>102234982</v>
          </cell>
        </row>
        <row r="363">
          <cell r="H363">
            <v>99968332</v>
          </cell>
        </row>
        <row r="372">
          <cell r="H372">
            <v>12920000</v>
          </cell>
        </row>
        <row r="376">
          <cell r="H376">
            <v>5000000</v>
          </cell>
        </row>
        <row r="379">
          <cell r="H379">
            <v>1000000</v>
          </cell>
        </row>
        <row r="382">
          <cell r="H382">
            <v>3000000</v>
          </cell>
        </row>
        <row r="385">
          <cell r="H385">
            <v>13726666</v>
          </cell>
        </row>
        <row r="388">
          <cell r="H388">
            <v>3000000</v>
          </cell>
        </row>
        <row r="392">
          <cell r="H392">
            <v>500000</v>
          </cell>
        </row>
        <row r="395">
          <cell r="H395">
            <v>14364982</v>
          </cell>
        </row>
        <row r="399">
          <cell r="H399">
            <v>7866666</v>
          </cell>
        </row>
        <row r="403">
          <cell r="H403">
            <v>28211665</v>
          </cell>
        </row>
        <row r="411">
          <cell r="H411">
            <v>9999999</v>
          </cell>
        </row>
        <row r="414">
          <cell r="H414">
            <v>14984000</v>
          </cell>
        </row>
        <row r="419">
          <cell r="H419">
            <v>59491665</v>
          </cell>
        </row>
        <row r="429">
          <cell r="H429">
            <v>2000000</v>
          </cell>
        </row>
        <row r="432">
          <cell r="H432">
            <v>7700000</v>
          </cell>
        </row>
        <row r="499">
          <cell r="AA499">
            <v>15000000</v>
          </cell>
        </row>
        <row r="516">
          <cell r="Q516">
            <v>15000000</v>
          </cell>
          <cell r="S516">
            <v>44200000</v>
          </cell>
          <cell r="T516">
            <v>13950000</v>
          </cell>
          <cell r="U516">
            <v>20000000</v>
          </cell>
          <cell r="V516">
            <v>10000000</v>
          </cell>
        </row>
        <row r="1389">
          <cell r="S1389">
            <v>18490288</v>
          </cell>
          <cell r="Y1389">
            <v>50000000</v>
          </cell>
        </row>
        <row r="1423">
          <cell r="AF1423">
            <v>6000000</v>
          </cell>
        </row>
        <row r="1586">
          <cell r="J1586">
            <v>15000000</v>
          </cell>
        </row>
        <row r="1628">
          <cell r="H1628">
            <v>5000000</v>
          </cell>
        </row>
        <row r="1641">
          <cell r="H1641">
            <v>9479500</v>
          </cell>
        </row>
        <row r="1646">
          <cell r="H1646">
            <v>250000</v>
          </cell>
        </row>
        <row r="1649">
          <cell r="H1649">
            <v>6652000</v>
          </cell>
        </row>
        <row r="1653">
          <cell r="H1653">
            <v>250000</v>
          </cell>
        </row>
        <row r="1656">
          <cell r="H1656">
            <v>250000</v>
          </cell>
        </row>
        <row r="1822">
          <cell r="AF1822">
            <v>93198502</v>
          </cell>
        </row>
        <row r="2058">
          <cell r="S2058">
            <v>40883333</v>
          </cell>
        </row>
        <row r="2062">
          <cell r="H2062">
            <v>15000000</v>
          </cell>
        </row>
        <row r="2065">
          <cell r="H2065">
            <v>14933333</v>
          </cell>
        </row>
        <row r="2071">
          <cell r="H2071">
            <v>5883333</v>
          </cell>
        </row>
        <row r="2074">
          <cell r="H2074">
            <v>1583334</v>
          </cell>
        </row>
        <row r="2080">
          <cell r="H2080">
            <v>17346067</v>
          </cell>
        </row>
        <row r="2087">
          <cell r="H2087">
            <v>15974282</v>
          </cell>
        </row>
        <row r="2096">
          <cell r="H2096">
            <v>1000000</v>
          </cell>
        </row>
        <row r="2099">
          <cell r="H2099">
            <v>28049818</v>
          </cell>
        </row>
        <row r="2108">
          <cell r="H2108">
            <v>9999999</v>
          </cell>
        </row>
        <row r="2113">
          <cell r="X2113">
            <v>195638750</v>
          </cell>
        </row>
        <row r="2182">
          <cell r="J2182">
            <v>92101241</v>
          </cell>
        </row>
        <row r="2367">
          <cell r="H2367">
            <v>27611531</v>
          </cell>
        </row>
        <row r="2369">
          <cell r="J2369">
            <v>29578777</v>
          </cell>
        </row>
        <row r="2398">
          <cell r="S2398">
            <v>17381368</v>
          </cell>
        </row>
        <row r="2526">
          <cell r="H2526">
            <v>4999998</v>
          </cell>
        </row>
        <row r="2546">
          <cell r="H2546">
            <v>7000000</v>
          </cell>
        </row>
        <row r="3006">
          <cell r="H3006">
            <v>5381368</v>
          </cell>
        </row>
        <row r="3217">
          <cell r="O3217">
            <v>20000000</v>
          </cell>
          <cell r="S3217">
            <v>20000000</v>
          </cell>
        </row>
        <row r="3368">
          <cell r="AF3368">
            <v>4000000</v>
          </cell>
        </row>
        <row r="3390">
          <cell r="X3390">
            <v>30000000</v>
          </cell>
        </row>
        <row r="3415">
          <cell r="H3415">
            <v>13999998</v>
          </cell>
        </row>
        <row r="3436">
          <cell r="AF3436">
            <v>28239120</v>
          </cell>
        </row>
        <row r="3561">
          <cell r="H3561">
            <v>15399971</v>
          </cell>
        </row>
        <row r="3571">
          <cell r="H3571">
            <v>4930000</v>
          </cell>
        </row>
        <row r="3674">
          <cell r="H3674">
            <v>10000000</v>
          </cell>
        </row>
        <row r="3677">
          <cell r="H3677">
            <v>10000000</v>
          </cell>
        </row>
        <row r="3680">
          <cell r="H3680">
            <v>8999466</v>
          </cell>
        </row>
        <row r="3687">
          <cell r="X3687">
            <v>103259000</v>
          </cell>
        </row>
        <row r="4366">
          <cell r="AF4366">
            <v>58378336</v>
          </cell>
        </row>
        <row r="4398">
          <cell r="W4398">
            <v>1367983008</v>
          </cell>
        </row>
        <row r="4768">
          <cell r="H4768">
            <v>5000000</v>
          </cell>
        </row>
        <row r="4772">
          <cell r="H4772">
            <v>11906666</v>
          </cell>
        </row>
        <row r="4775">
          <cell r="H4775">
            <v>16093333</v>
          </cell>
        </row>
        <row r="4778">
          <cell r="H4778">
            <v>9000000</v>
          </cell>
        </row>
        <row r="4782">
          <cell r="H4782">
            <v>4500000</v>
          </cell>
        </row>
        <row r="4785">
          <cell r="H4785">
            <v>9914671</v>
          </cell>
        </row>
        <row r="4797">
          <cell r="H4797">
            <v>4916667</v>
          </cell>
        </row>
        <row r="4800">
          <cell r="H4800">
            <v>13238328</v>
          </cell>
        </row>
        <row r="4810">
          <cell r="H4810">
            <v>3545000</v>
          </cell>
        </row>
        <row r="4813">
          <cell r="H4813">
            <v>8312007</v>
          </cell>
        </row>
        <row r="4824">
          <cell r="J4824">
            <v>8000000</v>
          </cell>
        </row>
        <row r="4868">
          <cell r="AB4868">
            <v>54230000</v>
          </cell>
        </row>
        <row r="4952">
          <cell r="AB4952">
            <v>44600000</v>
          </cell>
          <cell r="AF4952">
            <v>8000000</v>
          </cell>
        </row>
        <row r="4967">
          <cell r="AB4967">
            <v>299950000</v>
          </cell>
        </row>
        <row r="5051">
          <cell r="X5051">
            <v>148220156</v>
          </cell>
        </row>
        <row r="5080">
          <cell r="AB5080">
            <v>145142282</v>
          </cell>
        </row>
        <row r="5143">
          <cell r="AF5143">
            <v>3000000</v>
          </cell>
        </row>
        <row r="5221">
          <cell r="H5221">
            <v>10000000</v>
          </cell>
        </row>
        <row r="5224">
          <cell r="H5224">
            <v>7000000</v>
          </cell>
        </row>
        <row r="5230">
          <cell r="H5230">
            <v>1500000</v>
          </cell>
        </row>
        <row r="5245">
          <cell r="H5245">
            <v>5750000</v>
          </cell>
        </row>
        <row r="5248">
          <cell r="H5248">
            <v>17480000</v>
          </cell>
        </row>
        <row r="5254">
          <cell r="H5254">
            <v>10766663</v>
          </cell>
        </row>
        <row r="5264">
          <cell r="H5264">
            <v>5250000</v>
          </cell>
        </row>
        <row r="5268">
          <cell r="H5268">
            <v>4583333</v>
          </cell>
        </row>
        <row r="5271">
          <cell r="H5271">
            <v>24560290</v>
          </cell>
        </row>
        <row r="5279">
          <cell r="H5279">
            <v>8916667</v>
          </cell>
        </row>
        <row r="5282">
          <cell r="H5282">
            <v>22899999</v>
          </cell>
        </row>
        <row r="5290">
          <cell r="AA5290">
            <v>405000</v>
          </cell>
        </row>
        <row r="5331">
          <cell r="M5331">
            <v>191740697</v>
          </cell>
        </row>
        <row r="5647">
          <cell r="AF5647">
            <v>67250000</v>
          </cell>
        </row>
        <row r="5684">
          <cell r="J5684">
            <v>19660000</v>
          </cell>
          <cell r="M5684">
            <v>456362491</v>
          </cell>
          <cell r="V5684">
            <v>102462649</v>
          </cell>
        </row>
        <row r="5742">
          <cell r="AB5742">
            <v>49963689</v>
          </cell>
        </row>
        <row r="5763">
          <cell r="H5763">
            <v>3498957</v>
          </cell>
        </row>
        <row r="5766">
          <cell r="H5766">
            <v>54980000</v>
          </cell>
        </row>
        <row r="5785">
          <cell r="M5785">
            <v>42986224</v>
          </cell>
          <cell r="AF5785">
            <v>20000000</v>
          </cell>
        </row>
        <row r="5792">
          <cell r="H5792">
            <v>6307000</v>
          </cell>
        </row>
        <row r="5822">
          <cell r="AF5822">
            <v>213277800</v>
          </cell>
        </row>
        <row r="5859">
          <cell r="AF5859">
            <v>17171220</v>
          </cell>
        </row>
        <row r="5879">
          <cell r="AF5879">
            <v>277019050</v>
          </cell>
        </row>
        <row r="5880">
          <cell r="H5880">
            <v>2870208</v>
          </cell>
        </row>
        <row r="5891">
          <cell r="H5891">
            <v>37387800</v>
          </cell>
        </row>
        <row r="5896">
          <cell r="H5896">
            <v>12000000</v>
          </cell>
        </row>
        <row r="5899">
          <cell r="H5899">
            <v>12000000</v>
          </cell>
        </row>
        <row r="5906">
          <cell r="H5906">
            <v>72844500</v>
          </cell>
        </row>
        <row r="5934">
          <cell r="L5934">
            <v>288480447</v>
          </cell>
          <cell r="AF5934">
            <v>24980000</v>
          </cell>
        </row>
        <row r="6110">
          <cell r="H6110">
            <v>86666665</v>
          </cell>
        </row>
        <row r="6122">
          <cell r="H6122">
            <v>9269474</v>
          </cell>
        </row>
        <row r="6125">
          <cell r="H6125">
            <v>7020000</v>
          </cell>
        </row>
        <row r="6129">
          <cell r="H6129">
            <v>37813329</v>
          </cell>
        </row>
        <row r="6136">
          <cell r="G6136">
            <v>1641058</v>
          </cell>
        </row>
        <row r="6140">
          <cell r="J6140">
            <v>5807000</v>
          </cell>
        </row>
        <row r="6141">
          <cell r="H6141">
            <v>5546667</v>
          </cell>
        </row>
        <row r="6160">
          <cell r="H6160">
            <v>707288</v>
          </cell>
        </row>
        <row r="6163">
          <cell r="H6163">
            <v>21167447</v>
          </cell>
        </row>
        <row r="6170">
          <cell r="H6170">
            <v>13000000</v>
          </cell>
        </row>
        <row r="6173">
          <cell r="H6173">
            <v>49059212</v>
          </cell>
        </row>
        <row r="6182">
          <cell r="J6182">
            <v>100000000</v>
          </cell>
          <cell r="X6182">
            <v>84900000</v>
          </cell>
          <cell r="Y6182">
            <v>10000000</v>
          </cell>
        </row>
        <row r="6183">
          <cell r="H6183">
            <v>85363997</v>
          </cell>
        </row>
        <row r="6194">
          <cell r="H6194">
            <v>4636000</v>
          </cell>
        </row>
        <row r="6197">
          <cell r="H6197">
            <v>20000000</v>
          </cell>
        </row>
        <row r="6202">
          <cell r="H6202">
            <v>7973500</v>
          </cell>
        </row>
        <row r="6206">
          <cell r="H6206">
            <v>7502997</v>
          </cell>
        </row>
        <row r="6211">
          <cell r="H6211">
            <v>7880180</v>
          </cell>
        </row>
        <row r="6215">
          <cell r="H6215">
            <v>12119820</v>
          </cell>
        </row>
        <row r="6218">
          <cell r="H6218">
            <v>6499833</v>
          </cell>
        </row>
        <row r="6222">
          <cell r="H6222">
            <v>12946334</v>
          </cell>
        </row>
        <row r="6231">
          <cell r="H6231">
            <v>3900000</v>
          </cell>
        </row>
        <row r="6234">
          <cell r="H6234">
            <v>300000</v>
          </cell>
        </row>
        <row r="6237">
          <cell r="H6237">
            <v>9700000</v>
          </cell>
        </row>
        <row r="6242">
          <cell r="H6242">
            <v>10000000</v>
          </cell>
        </row>
        <row r="6263">
          <cell r="J6263">
            <v>6700000</v>
          </cell>
        </row>
        <row r="6273">
          <cell r="H6273">
            <v>5800000</v>
          </cell>
        </row>
        <row r="6279">
          <cell r="H6279">
            <v>9010000</v>
          </cell>
        </row>
        <row r="6282">
          <cell r="H6282">
            <v>6825000</v>
          </cell>
        </row>
        <row r="6285">
          <cell r="H6285">
            <v>44165000</v>
          </cell>
        </row>
        <row r="6293">
          <cell r="H6293">
            <v>45000000</v>
          </cell>
        </row>
        <row r="6305">
          <cell r="H6305">
            <v>13623845</v>
          </cell>
        </row>
        <row r="6310">
          <cell r="H6310">
            <v>11666666</v>
          </cell>
        </row>
        <row r="6314">
          <cell r="H6314">
            <v>4675000</v>
          </cell>
        </row>
        <row r="6317">
          <cell r="H6317">
            <v>10266666</v>
          </cell>
        </row>
        <row r="6321">
          <cell r="H6321">
            <v>25491667</v>
          </cell>
        </row>
        <row r="6326">
          <cell r="H6326">
            <v>3995000</v>
          </cell>
        </row>
        <row r="6329">
          <cell r="H6329">
            <v>8774000</v>
          </cell>
        </row>
        <row r="6332">
          <cell r="H6332">
            <v>22000000</v>
          </cell>
        </row>
        <row r="6336">
          <cell r="H6336">
            <v>5610000</v>
          </cell>
        </row>
        <row r="6339">
          <cell r="H6339">
            <v>13626000</v>
          </cell>
        </row>
        <row r="6358">
          <cell r="AF6358">
            <v>9400000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1255">
          <cell r="AF1255">
            <v>29000000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34">
          <cell r="J1434">
            <v>20000000</v>
          </cell>
        </row>
        <row r="1525">
          <cell r="J1525">
            <v>40000000</v>
          </cell>
        </row>
        <row r="1876">
          <cell r="J1876">
            <v>130000000</v>
          </cell>
          <cell r="X1876">
            <v>40000000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90">
          <cell r="Z90">
            <v>50000000</v>
          </cell>
        </row>
        <row r="657">
          <cell r="H657">
            <v>7356597</v>
          </cell>
        </row>
        <row r="1007">
          <cell r="H1007">
            <v>29339994</v>
          </cell>
        </row>
        <row r="1009">
          <cell r="J1009">
            <v>29340000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36">
          <cell r="AF36">
            <v>2900000</v>
          </cell>
        </row>
        <row r="114">
          <cell r="AA114">
            <v>262000000</v>
          </cell>
        </row>
        <row r="249">
          <cell r="H249">
            <v>5819242</v>
          </cell>
        </row>
        <row r="253">
          <cell r="H253">
            <v>6114092</v>
          </cell>
        </row>
        <row r="531">
          <cell r="S531">
            <v>22000000</v>
          </cell>
        </row>
        <row r="535">
          <cell r="H535">
            <v>11810462</v>
          </cell>
        </row>
        <row r="542">
          <cell r="H542">
            <v>10000000</v>
          </cell>
        </row>
        <row r="1436">
          <cell r="J1436">
            <v>9500000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</row>
        <row r="1978">
          <cell r="O1978">
            <v>270000000</v>
          </cell>
          <cell r="Z1978">
            <v>100000000</v>
          </cell>
        </row>
        <row r="1988">
          <cell r="X1988">
            <v>150000000</v>
          </cell>
        </row>
        <row r="2049">
          <cell r="J2049">
            <v>96458667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B148"/>
  <sheetViews>
    <sheetView showGridLines="0" topLeftCell="B4" zoomScaleNormal="100" zoomScaleSheetLayoutView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EC4" sqref="EC1:EG1048576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0.28515625" customWidth="1"/>
    <col min="5" max="5" width="16" hidden="1" customWidth="1"/>
    <col min="6" max="6" width="14.5703125" hidden="1" customWidth="1"/>
    <col min="7" max="7" width="14.85546875" customWidth="1"/>
    <col min="8" max="8" width="16" hidden="1" customWidth="1"/>
    <col min="9" max="9" width="13.7109375" hidden="1" customWidth="1"/>
    <col min="10" max="10" width="13.140625" customWidth="1"/>
    <col min="11" max="11" width="12.5703125" customWidth="1"/>
    <col min="12" max="12" width="10.28515625" customWidth="1"/>
    <col min="13" max="13" width="12.7109375" customWidth="1"/>
    <col min="14" max="14" width="13.42578125" customWidth="1"/>
    <col min="15" max="15" width="12.5703125" customWidth="1"/>
    <col min="16" max="16" width="10.85546875" customWidth="1"/>
    <col min="17" max="17" width="12.85546875" customWidth="1"/>
    <col min="18" max="18" width="11" customWidth="1"/>
    <col min="19" max="19" width="12.28515625" customWidth="1"/>
    <col min="20" max="20" width="11.85546875" customWidth="1"/>
    <col min="21" max="21" width="12" customWidth="1"/>
    <col min="22" max="23" width="11.140625" customWidth="1"/>
    <col min="24" max="24" width="11.7109375" customWidth="1"/>
    <col min="25" max="25" width="13" customWidth="1"/>
    <col min="26" max="26" width="13.140625" customWidth="1"/>
    <col min="27" max="27" width="14.2851562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hidden="1" customWidth="1"/>
    <col min="59" max="59" width="14.85546875" hidden="1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hidden="1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54" width="11.42578125" customWidth="1"/>
  </cols>
  <sheetData>
    <row r="1" spans="1:132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2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2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2" ht="15" customHeight="1" x14ac:dyDescent="0.25">
      <c r="A4" s="15" t="s">
        <v>5</v>
      </c>
      <c r="B4" s="16" t="s">
        <v>6</v>
      </c>
      <c r="C4" s="16" t="s">
        <v>7</v>
      </c>
      <c r="D4" s="16" t="s">
        <v>8</v>
      </c>
      <c r="E4" s="17" t="s">
        <v>9</v>
      </c>
      <c r="F4" s="16" t="s">
        <v>10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"/>
      <c r="AH4" s="20" t="s">
        <v>11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2"/>
      <c r="BF4" s="23"/>
      <c r="BG4" s="24"/>
      <c r="BH4" s="25" t="s">
        <v>12</v>
      </c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5" t="s">
        <v>12</v>
      </c>
      <c r="BU4" s="26"/>
      <c r="BV4" s="26"/>
      <c r="BW4" s="26"/>
      <c r="BX4" s="26"/>
      <c r="BY4" s="26"/>
      <c r="BZ4" s="26"/>
      <c r="CA4" s="26"/>
      <c r="CB4" s="26"/>
      <c r="CC4" s="26"/>
      <c r="CD4" s="27"/>
      <c r="CE4" s="28"/>
      <c r="CF4" s="19"/>
      <c r="CG4" s="20" t="s">
        <v>13</v>
      </c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9"/>
      <c r="CU4" s="29"/>
      <c r="CV4" s="21"/>
      <c r="CW4" s="21"/>
      <c r="CX4" s="21"/>
      <c r="CY4" s="21"/>
      <c r="CZ4" s="21"/>
      <c r="DA4" s="21"/>
      <c r="DB4" s="21"/>
      <c r="DC4" s="22"/>
      <c r="DD4" s="30"/>
      <c r="DE4" s="25" t="s">
        <v>12</v>
      </c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2" s="37" customFormat="1" ht="36" customHeight="1" x14ac:dyDescent="0.2">
      <c r="A5" s="15"/>
      <c r="B5" s="16"/>
      <c r="C5" s="16"/>
      <c r="D5" s="16"/>
      <c r="E5" s="17"/>
      <c r="F5" s="16"/>
      <c r="G5" s="31" t="s">
        <v>14</v>
      </c>
      <c r="H5" s="32" t="s">
        <v>15</v>
      </c>
      <c r="I5" s="32" t="s">
        <v>16</v>
      </c>
      <c r="J5" s="33" t="s">
        <v>17</v>
      </c>
      <c r="K5" s="33" t="s">
        <v>18</v>
      </c>
      <c r="L5" s="33" t="s">
        <v>19</v>
      </c>
      <c r="M5" s="33" t="s">
        <v>20</v>
      </c>
      <c r="N5" s="33" t="s">
        <v>21</v>
      </c>
      <c r="O5" s="33" t="s">
        <v>22</v>
      </c>
      <c r="P5" s="33" t="s">
        <v>23</v>
      </c>
      <c r="Q5" s="33" t="s">
        <v>24</v>
      </c>
      <c r="R5" s="33" t="s">
        <v>25</v>
      </c>
      <c r="S5" s="33" t="s">
        <v>26</v>
      </c>
      <c r="T5" s="33" t="s">
        <v>27</v>
      </c>
      <c r="U5" s="33" t="s">
        <v>28</v>
      </c>
      <c r="V5" s="33" t="s">
        <v>29</v>
      </c>
      <c r="W5" s="33" t="s">
        <v>30</v>
      </c>
      <c r="X5" s="33" t="s">
        <v>31</v>
      </c>
      <c r="Y5" s="33" t="s">
        <v>32</v>
      </c>
      <c r="Z5" s="33" t="s">
        <v>33</v>
      </c>
      <c r="AA5" s="33" t="s">
        <v>34</v>
      </c>
      <c r="AB5" s="33" t="s">
        <v>35</v>
      </c>
      <c r="AC5" s="33" t="s">
        <v>36</v>
      </c>
      <c r="AD5" s="33" t="s">
        <v>37</v>
      </c>
      <c r="AE5" s="33" t="s">
        <v>38</v>
      </c>
      <c r="AF5" s="33" t="s">
        <v>39</v>
      </c>
      <c r="AG5" s="34" t="s">
        <v>40</v>
      </c>
      <c r="AH5" s="35" t="s">
        <v>41</v>
      </c>
      <c r="AI5" s="35" t="s">
        <v>17</v>
      </c>
      <c r="AJ5" s="35" t="s">
        <v>18</v>
      </c>
      <c r="AK5" s="35" t="s">
        <v>19</v>
      </c>
      <c r="AL5" s="35" t="s">
        <v>20</v>
      </c>
      <c r="AM5" s="35" t="s">
        <v>21</v>
      </c>
      <c r="AN5" s="35" t="s">
        <v>22</v>
      </c>
      <c r="AO5" s="35" t="s">
        <v>23</v>
      </c>
      <c r="AP5" s="35" t="s">
        <v>24</v>
      </c>
      <c r="AQ5" s="35" t="s">
        <v>25</v>
      </c>
      <c r="AR5" s="35" t="s">
        <v>26</v>
      </c>
      <c r="AS5" s="35" t="s">
        <v>27</v>
      </c>
      <c r="AT5" s="35" t="s">
        <v>28</v>
      </c>
      <c r="AU5" s="35" t="s">
        <v>29</v>
      </c>
      <c r="AV5" s="35" t="s">
        <v>30</v>
      </c>
      <c r="AW5" s="35" t="s">
        <v>31</v>
      </c>
      <c r="AX5" s="35" t="s">
        <v>32</v>
      </c>
      <c r="AY5" s="35" t="s">
        <v>33</v>
      </c>
      <c r="AZ5" s="35" t="s">
        <v>34</v>
      </c>
      <c r="BA5" s="35" t="s">
        <v>35</v>
      </c>
      <c r="BB5" s="35" t="s">
        <v>36</v>
      </c>
      <c r="BC5" s="35" t="s">
        <v>37</v>
      </c>
      <c r="BD5" s="35" t="s">
        <v>38</v>
      </c>
      <c r="BE5" s="35" t="s">
        <v>39</v>
      </c>
      <c r="BF5" s="36" t="s">
        <v>40</v>
      </c>
      <c r="BG5" s="30" t="s">
        <v>41</v>
      </c>
      <c r="BH5" s="30" t="s">
        <v>17</v>
      </c>
      <c r="BI5" s="30" t="s">
        <v>18</v>
      </c>
      <c r="BJ5" s="30" t="s">
        <v>42</v>
      </c>
      <c r="BK5" s="30" t="s">
        <v>20</v>
      </c>
      <c r="BL5" s="30" t="s">
        <v>21</v>
      </c>
      <c r="BM5" s="30" t="s">
        <v>22</v>
      </c>
      <c r="BN5" s="30" t="s">
        <v>23</v>
      </c>
      <c r="BO5" s="30" t="s">
        <v>24</v>
      </c>
      <c r="BP5" s="30" t="s">
        <v>25</v>
      </c>
      <c r="BQ5" s="30" t="s">
        <v>26</v>
      </c>
      <c r="BR5" s="30" t="s">
        <v>27</v>
      </c>
      <c r="BS5" s="30" t="s">
        <v>28</v>
      </c>
      <c r="BT5" s="30" t="s">
        <v>29</v>
      </c>
      <c r="BU5" s="30" t="s">
        <v>30</v>
      </c>
      <c r="BV5" s="30" t="s">
        <v>31</v>
      </c>
      <c r="BW5" s="30" t="s">
        <v>32</v>
      </c>
      <c r="BX5" s="30" t="s">
        <v>33</v>
      </c>
      <c r="BY5" s="30" t="s">
        <v>34</v>
      </c>
      <c r="BZ5" s="30" t="s">
        <v>35</v>
      </c>
      <c r="CA5" s="30" t="s">
        <v>36</v>
      </c>
      <c r="CB5" s="30" t="s">
        <v>37</v>
      </c>
      <c r="CC5" s="30" t="s">
        <v>38</v>
      </c>
      <c r="CD5" s="30" t="s">
        <v>39</v>
      </c>
      <c r="CE5" s="34" t="s">
        <v>40</v>
      </c>
      <c r="CF5" s="35" t="s">
        <v>41</v>
      </c>
      <c r="CG5" s="35" t="s">
        <v>17</v>
      </c>
      <c r="CH5" s="35" t="s">
        <v>18</v>
      </c>
      <c r="CI5" s="35" t="s">
        <v>42</v>
      </c>
      <c r="CJ5" s="35" t="s">
        <v>20</v>
      </c>
      <c r="CK5" s="35" t="s">
        <v>21</v>
      </c>
      <c r="CL5" s="35" t="s">
        <v>22</v>
      </c>
      <c r="CM5" s="35" t="s">
        <v>23</v>
      </c>
      <c r="CN5" s="35" t="s">
        <v>24</v>
      </c>
      <c r="CO5" s="35" t="s">
        <v>25</v>
      </c>
      <c r="CP5" s="35" t="s">
        <v>26</v>
      </c>
      <c r="CQ5" s="35" t="s">
        <v>27</v>
      </c>
      <c r="CR5" s="35" t="s">
        <v>28</v>
      </c>
      <c r="CS5" s="35" t="s">
        <v>29</v>
      </c>
      <c r="CT5" s="35" t="s">
        <v>30</v>
      </c>
      <c r="CU5" s="35" t="s">
        <v>31</v>
      </c>
      <c r="CV5" s="35" t="s">
        <v>32</v>
      </c>
      <c r="CW5" s="35" t="s">
        <v>33</v>
      </c>
      <c r="CX5" s="35" t="s">
        <v>34</v>
      </c>
      <c r="CY5" s="35" t="s">
        <v>35</v>
      </c>
      <c r="CZ5" s="35" t="s">
        <v>36</v>
      </c>
      <c r="DA5" s="35" t="s">
        <v>37</v>
      </c>
      <c r="DB5" s="35" t="s">
        <v>38</v>
      </c>
      <c r="DC5" s="35" t="s">
        <v>39</v>
      </c>
      <c r="DD5" s="30" t="s">
        <v>40</v>
      </c>
      <c r="DE5" s="30" t="s">
        <v>41</v>
      </c>
      <c r="DF5" s="30" t="s">
        <v>17</v>
      </c>
      <c r="DG5" s="30" t="s">
        <v>18</v>
      </c>
      <c r="DH5" s="30" t="s">
        <v>42</v>
      </c>
      <c r="DI5" s="30" t="s">
        <v>20</v>
      </c>
      <c r="DJ5" s="30" t="s">
        <v>21</v>
      </c>
      <c r="DK5" s="30" t="s">
        <v>22</v>
      </c>
      <c r="DL5" s="30" t="s">
        <v>23</v>
      </c>
      <c r="DM5" s="30" t="s">
        <v>24</v>
      </c>
      <c r="DN5" s="30" t="s">
        <v>25</v>
      </c>
      <c r="DO5" s="30" t="s">
        <v>26</v>
      </c>
      <c r="DP5" s="30" t="s">
        <v>27</v>
      </c>
      <c r="DQ5" s="30" t="s">
        <v>28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</row>
    <row r="6" spans="1:132" ht="49.5" customHeight="1" x14ac:dyDescent="0.25">
      <c r="A6" s="38" t="s">
        <v>43</v>
      </c>
      <c r="B6" s="39" t="s">
        <v>44</v>
      </c>
      <c r="C6" s="40" t="s">
        <v>45</v>
      </c>
      <c r="D6" s="41" t="s">
        <v>46</v>
      </c>
      <c r="E6" s="42">
        <v>510</v>
      </c>
      <c r="F6" s="43" t="s">
        <v>47</v>
      </c>
      <c r="G6" s="44">
        <f t="shared" ref="G6:G23" si="0">SUM(J6:AF6)</f>
        <v>91329417</v>
      </c>
      <c r="H6" s="45">
        <v>100000000</v>
      </c>
      <c r="I6" s="45">
        <f>H6-G6</f>
        <v>8670583</v>
      </c>
      <c r="J6" s="44"/>
      <c r="K6" s="44">
        <f>40000000+13893335</f>
        <v>53893335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>
        <v>10000000</v>
      </c>
      <c r="AA6" s="44">
        <f>6936130</f>
        <v>6936130</v>
      </c>
      <c r="AB6" s="44"/>
      <c r="AC6" s="44"/>
      <c r="AD6" s="44"/>
      <c r="AE6" s="44"/>
      <c r="AF6" s="44">
        <f>24000000-2000048-1500000</f>
        <v>20499952</v>
      </c>
      <c r="AG6" s="46">
        <f t="shared" ref="AG6:AG69" si="1">AH6/G6</f>
        <v>0.56184838013364302</v>
      </c>
      <c r="AH6" s="44">
        <f t="shared" ref="AH6:AH23" si="2">SUM(AI6:BE6)</f>
        <v>51313285</v>
      </c>
      <c r="AI6" s="47"/>
      <c r="AJ6" s="44">
        <f>+'[1]Acuerdo PLAN INVERSIÓN 2021'!$J$18</f>
        <v>29813333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>
        <f>+'[2]Acuerdo PLAN INVERSIÓN 2021'!$AA$18</f>
        <v>1000000</v>
      </c>
      <c r="AZ6" s="44"/>
      <c r="BA6" s="44"/>
      <c r="BB6" s="44"/>
      <c r="BC6" s="44"/>
      <c r="BD6" s="44"/>
      <c r="BE6" s="44">
        <f>+'[3]Acuerdo PLAN INVERSIÓN 2021'!$AF$18</f>
        <v>20499952</v>
      </c>
      <c r="BF6" s="46">
        <f>1-AG6</f>
        <v>0.43815161986635698</v>
      </c>
      <c r="BG6" s="44">
        <f t="shared" ref="BG6:BG23" si="3">SUM(BH6:CD6)</f>
        <v>40016132</v>
      </c>
      <c r="BH6" s="44">
        <f t="shared" ref="BH6:BW21" si="4">+J6-AI6</f>
        <v>0</v>
      </c>
      <c r="BI6" s="44">
        <f t="shared" si="4"/>
        <v>24080002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9000000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0</v>
      </c>
      <c r="CE6" s="46">
        <f t="shared" ref="CE6:CE49" si="6">CF6/G6</f>
        <v>0.55088147557100908</v>
      </c>
      <c r="CF6" s="44">
        <f t="shared" ref="CF6:CF23" si="7">SUM(CG6:DC6)</f>
        <v>50311684</v>
      </c>
      <c r="CG6" s="44"/>
      <c r="CH6" s="44">
        <f>+'[3]Acuerdo PLAN INVERSIÓN 2021'!$H$19+'[3]Acuerdo PLAN INVERSIÓN 2021'!$H$22+'[3]Acuerdo PLAN INVERSIÓN 2021'!$H$31+'[3]Acuerdo PLAN INVERSIÓN 2021'!$H$43+'[1]Acuerdo PLAN INVERSIÓN 2021'!$H$45</f>
        <v>29813332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>
        <f>+'[4]Acuerdo PLAN INVERSIÓN 2021'!$H$25+'[4]Acuerdo PLAN INVERSIÓN 2021'!$H$28+'[4]Acuerdo PLAN INVERSIÓN 2021'!$H$35+'[4]Acuerdo PLAN INVERSIÓN 2021'!$H$37+'[4]Acuerdo PLAN INVERSIÓN 2021'!$H$40</f>
        <v>20498352</v>
      </c>
      <c r="DD6" s="46">
        <f t="shared" ref="DD6:DD69" si="8">1-CE6</f>
        <v>0.44911852442899092</v>
      </c>
      <c r="DE6" s="44">
        <f>SUM(DF6:EB6)</f>
        <v>41017733</v>
      </c>
      <c r="DF6" s="44">
        <f t="shared" ref="DF6:DU21" si="9">+J6-CG6</f>
        <v>0</v>
      </c>
      <c r="DG6" s="44">
        <f t="shared" si="9"/>
        <v>24080003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10000000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1600</v>
      </c>
    </row>
    <row r="7" spans="1:132" ht="51" customHeight="1" x14ac:dyDescent="0.25">
      <c r="A7" s="50"/>
      <c r="B7" s="51"/>
      <c r="C7" s="40" t="s">
        <v>48</v>
      </c>
      <c r="D7" s="41" t="s">
        <v>49</v>
      </c>
      <c r="E7" s="42">
        <v>510</v>
      </c>
      <c r="F7" s="43" t="s">
        <v>50</v>
      </c>
      <c r="G7" s="44">
        <f t="shared" si="0"/>
        <v>41670990</v>
      </c>
      <c r="H7" s="45">
        <v>40000000</v>
      </c>
      <c r="I7" s="45">
        <f t="shared" ref="I7:I23" si="11">H7-G7</f>
        <v>-1670990</v>
      </c>
      <c r="J7" s="44"/>
      <c r="K7" s="44">
        <f>30000000+4970990</f>
        <v>34970990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6700000</v>
      </c>
      <c r="AB7" s="44"/>
      <c r="AC7" s="44"/>
      <c r="AD7" s="44"/>
      <c r="AE7" s="44"/>
      <c r="AF7" s="44"/>
      <c r="AG7" s="46">
        <f t="shared" si="1"/>
        <v>0.57146069723805459</v>
      </c>
      <c r="AH7" s="44">
        <f t="shared" si="2"/>
        <v>23813333</v>
      </c>
      <c r="AI7" s="44"/>
      <c r="AJ7" s="44">
        <f>+'[4]Acuerdo PLAN INVERSIÓN 2021'!$J$47-1</f>
        <v>23813333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6">
        <f t="shared" ref="BF7:BF70" si="12">1-AG7</f>
        <v>0.42853930276194541</v>
      </c>
      <c r="BG7" s="44">
        <f t="shared" si="3"/>
        <v>17857657</v>
      </c>
      <c r="BH7" s="44">
        <f t="shared" si="4"/>
        <v>0</v>
      </c>
      <c r="BI7" s="44">
        <f t="shared" si="4"/>
        <v>11157657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6700000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0.57146067324054461</v>
      </c>
      <c r="CF7" s="44">
        <f t="shared" si="7"/>
        <v>23813332</v>
      </c>
      <c r="CG7" s="44"/>
      <c r="CH7" s="44">
        <v>23813332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6">
        <f t="shared" si="8"/>
        <v>0.42853932675945539</v>
      </c>
      <c r="DE7" s="44">
        <f t="shared" ref="DE7:DE23" si="13">SUM(DF7:EB7)</f>
        <v>17857658</v>
      </c>
      <c r="DF7" s="44">
        <f t="shared" si="9"/>
        <v>0</v>
      </c>
      <c r="DG7" s="44">
        <f t="shared" si="9"/>
        <v>11157658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6700000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</row>
    <row r="8" spans="1:132" ht="60" customHeight="1" x14ac:dyDescent="0.25">
      <c r="A8" s="52"/>
      <c r="B8" s="53" t="s">
        <v>51</v>
      </c>
      <c r="C8" s="40" t="s">
        <v>52</v>
      </c>
      <c r="D8" s="54" t="s">
        <v>53</v>
      </c>
      <c r="E8" s="55">
        <v>510</v>
      </c>
      <c r="F8" s="56" t="s">
        <v>54</v>
      </c>
      <c r="G8" s="44">
        <f t="shared" si="0"/>
        <v>75740837</v>
      </c>
      <c r="H8" s="45">
        <v>15000000</v>
      </c>
      <c r="I8" s="45">
        <f t="shared" si="11"/>
        <v>-60740837</v>
      </c>
      <c r="J8" s="44"/>
      <c r="K8" s="44">
        <v>46336160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>
        <v>18000000</v>
      </c>
      <c r="AA8" s="44"/>
      <c r="AB8" s="44"/>
      <c r="AC8" s="44"/>
      <c r="AD8" s="44"/>
      <c r="AE8" s="44"/>
      <c r="AF8" s="44">
        <v>11404677</v>
      </c>
      <c r="AG8" s="46">
        <f t="shared" si="1"/>
        <v>0.84942499381146264</v>
      </c>
      <c r="AH8" s="44">
        <f t="shared" si="2"/>
        <v>64336160</v>
      </c>
      <c r="AI8" s="44"/>
      <c r="AJ8" s="44">
        <f>+'[4]Acuerdo PLAN INVERSIÓN 2021'!$J$56</f>
        <v>46336160</v>
      </c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>
        <f>+'[4]Acuerdo PLAN INVERSIÓN 2021'!$AA$56</f>
        <v>18000000</v>
      </c>
      <c r="AZ8" s="44"/>
      <c r="BA8" s="44"/>
      <c r="BB8" s="44"/>
      <c r="BC8" s="44"/>
      <c r="BD8" s="44"/>
      <c r="BE8" s="44"/>
      <c r="BF8" s="46">
        <f t="shared" si="12"/>
        <v>0.15057500618853736</v>
      </c>
      <c r="BG8" s="44">
        <f t="shared" si="3"/>
        <v>11404677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11404677</v>
      </c>
      <c r="CE8" s="46">
        <f t="shared" si="6"/>
        <v>0.82034122490618899</v>
      </c>
      <c r="CF8" s="44">
        <f t="shared" si="7"/>
        <v>62133331</v>
      </c>
      <c r="CG8" s="44"/>
      <c r="CH8" s="44">
        <f>+'[5]Acuerdo PLAN INVERSIÓN 2021'!$H$66+'[5]Acuerdo PLAN INVERSIÓN 2021'!$H$72+'[5]Acuerdo PLAN INVERSIÓN 2021'!$H$75</f>
        <v>45686160</v>
      </c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>
        <f>+'[5]Acuerdo PLAN INVERSIÓN 2021'!$H$63+'[5]Acuerdo PLAN INVERSIÓN 2021'!$H$80</f>
        <v>16447171</v>
      </c>
      <c r="CX8" s="44"/>
      <c r="CY8" s="44"/>
      <c r="CZ8" s="44"/>
      <c r="DA8" s="44"/>
      <c r="DB8" s="44"/>
      <c r="DC8" s="44"/>
      <c r="DD8" s="46">
        <f t="shared" si="8"/>
        <v>0.17965877509381101</v>
      </c>
      <c r="DE8" s="44">
        <f t="shared" si="13"/>
        <v>13607506</v>
      </c>
      <c r="DF8" s="44">
        <f t="shared" si="9"/>
        <v>0</v>
      </c>
      <c r="DG8" s="44">
        <f t="shared" si="9"/>
        <v>650000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1552829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11404677</v>
      </c>
    </row>
    <row r="9" spans="1:132" ht="48" customHeight="1" x14ac:dyDescent="0.25">
      <c r="A9" s="52"/>
      <c r="B9" s="53"/>
      <c r="C9" s="40" t="s">
        <v>55</v>
      </c>
      <c r="D9" s="57" t="s">
        <v>56</v>
      </c>
      <c r="E9" s="42">
        <v>510</v>
      </c>
      <c r="F9" s="43" t="s">
        <v>57</v>
      </c>
      <c r="G9" s="44">
        <f t="shared" si="0"/>
        <v>65666667</v>
      </c>
      <c r="H9" s="45">
        <v>20000000</v>
      </c>
      <c r="I9" s="45">
        <f t="shared" si="11"/>
        <v>-45666667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>
        <v>23000000</v>
      </c>
      <c r="AA9" s="44"/>
      <c r="AB9" s="44"/>
      <c r="AC9" s="44"/>
      <c r="AD9" s="44"/>
      <c r="AE9" s="44"/>
      <c r="AF9" s="44">
        <f>16000000+10000000+10000000+16666667-10000000</f>
        <v>42666667</v>
      </c>
      <c r="AG9" s="46">
        <f t="shared" si="1"/>
        <v>0.61928934203406427</v>
      </c>
      <c r="AH9" s="44">
        <f t="shared" si="2"/>
        <v>40666667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>
        <f>+'[2]Acuerdo PLAN INVERSIÓN 2021'!$AA$80</f>
        <v>8000000</v>
      </c>
      <c r="AZ9" s="44"/>
      <c r="BA9" s="44"/>
      <c r="BB9" s="44"/>
      <c r="BC9" s="44"/>
      <c r="BD9" s="44"/>
      <c r="BE9" s="44">
        <f>+'[1]Acuerdo PLAN INVERSIÓN 2021'!$AF$84</f>
        <v>32666667</v>
      </c>
      <c r="BF9" s="46">
        <f t="shared" si="12"/>
        <v>0.38071065796593573</v>
      </c>
      <c r="BG9" s="44">
        <f t="shared" si="3"/>
        <v>25000000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15000000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10000000</v>
      </c>
      <c r="CE9" s="46">
        <f t="shared" si="6"/>
        <v>0.5431472104408771</v>
      </c>
      <c r="CF9" s="44">
        <f t="shared" si="7"/>
        <v>35666667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>
        <f>+'[5]Acuerdo PLAN INVERSIÓN 2021'!$H$94</f>
        <v>5000000</v>
      </c>
      <c r="CX9" s="44"/>
      <c r="CY9" s="44"/>
      <c r="CZ9" s="44"/>
      <c r="DA9" s="44"/>
      <c r="DB9" s="44"/>
      <c r="DC9" s="44">
        <f>+'[5]Acuerdo PLAN INVERSIÓN 2021'!$H$88+'[5]Acuerdo PLAN INVERSIÓN 2021'!$H$91+'[5]Acuerdo PLAN INVERSIÓN 2021'!$H$99+'[5]Acuerdo PLAN INVERSIÓN 2021'!$H$103+'[5]Acuerdo PLAN INVERSIÓN 2021'!$H$107+'[5]Acuerdo PLAN INVERSIÓN 2021'!$H$112</f>
        <v>30666667</v>
      </c>
      <c r="DD9" s="46">
        <f t="shared" si="8"/>
        <v>0.4568527895591229</v>
      </c>
      <c r="DE9" s="44">
        <f t="shared" si="13"/>
        <v>30000000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18000000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12000000</v>
      </c>
    </row>
    <row r="10" spans="1:132" ht="37.5" customHeight="1" x14ac:dyDescent="0.25">
      <c r="A10" s="52"/>
      <c r="B10" s="53"/>
      <c r="C10" s="40" t="s">
        <v>58</v>
      </c>
      <c r="D10" s="41" t="s">
        <v>59</v>
      </c>
      <c r="E10" s="42">
        <v>510</v>
      </c>
      <c r="F10" s="43" t="s">
        <v>60</v>
      </c>
      <c r="G10" s="44">
        <f t="shared" si="0"/>
        <v>424000000</v>
      </c>
      <c r="H10" s="45">
        <v>28600000</v>
      </c>
      <c r="I10" s="45">
        <f t="shared" si="11"/>
        <v>-395400000</v>
      </c>
      <c r="J10" s="44"/>
      <c r="K10" s="44"/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>
        <v>10000000</v>
      </c>
      <c r="AA10" s="44"/>
      <c r="AB10" s="44"/>
      <c r="AC10" s="44"/>
      <c r="AD10" s="44"/>
      <c r="AE10" s="44">
        <v>300000000</v>
      </c>
      <c r="AF10" s="44"/>
      <c r="AG10" s="46">
        <f t="shared" si="1"/>
        <v>0.97641509433962259</v>
      </c>
      <c r="AH10" s="44">
        <f t="shared" si="2"/>
        <v>414000000</v>
      </c>
      <c r="AI10" s="44"/>
      <c r="AJ10" s="44"/>
      <c r="AK10" s="44"/>
      <c r="AL10" s="44">
        <f>+'[1]Acuerdo PLAN INVERSIÓN 2021'!$M$108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+'[1]Acuerdo PLAN INVERSIÓN 2021'!$AE$108</f>
        <v>300000000</v>
      </c>
      <c r="BE10" s="44"/>
      <c r="BF10" s="46">
        <f t="shared" si="12"/>
        <v>2.3584905660377409E-2</v>
      </c>
      <c r="BG10" s="44">
        <f t="shared" si="3"/>
        <v>10000000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10000000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0</v>
      </c>
      <c r="CF10" s="44">
        <f t="shared" si="7"/>
        <v>0</v>
      </c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1</v>
      </c>
      <c r="DE10" s="44">
        <f t="shared" si="13"/>
        <v>424000000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10000000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</row>
    <row r="11" spans="1:132" ht="31.5" customHeight="1" x14ac:dyDescent="0.25">
      <c r="A11" s="52"/>
      <c r="B11" s="53"/>
      <c r="C11" s="40" t="s">
        <v>61</v>
      </c>
      <c r="D11" s="41" t="s">
        <v>62</v>
      </c>
      <c r="E11" s="42">
        <v>510</v>
      </c>
      <c r="F11" s="43" t="s">
        <v>60</v>
      </c>
      <c r="G11" s="44">
        <f t="shared" si="0"/>
        <v>132908964</v>
      </c>
      <c r="H11" s="45">
        <v>45000000</v>
      </c>
      <c r="I11" s="45">
        <f t="shared" si="11"/>
        <v>-87908964</v>
      </c>
      <c r="J11" s="44"/>
      <c r="K11" s="44">
        <f>301000</f>
        <v>301000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>
        <v>10000000</v>
      </c>
      <c r="AA11" s="44"/>
      <c r="AB11" s="44"/>
      <c r="AC11" s="44"/>
      <c r="AD11" s="44"/>
      <c r="AE11" s="44">
        <f>122607964</f>
        <v>122607964</v>
      </c>
      <c r="AF11" s="44"/>
      <c r="AG11" s="46">
        <f t="shared" si="1"/>
        <v>0.92249582202747438</v>
      </c>
      <c r="AH11" s="44">
        <f t="shared" si="2"/>
        <v>122607964</v>
      </c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+'[1]Acuerdo PLAN INVERSIÓN 2021'!$AE$115</f>
        <v>122607964</v>
      </c>
      <c r="BE11" s="44"/>
      <c r="BF11" s="46">
        <f t="shared" si="12"/>
        <v>7.7504177972525623E-2</v>
      </c>
      <c r="BG11" s="44">
        <f t="shared" si="3"/>
        <v>10301000</v>
      </c>
      <c r="BH11" s="44">
        <f t="shared" si="4"/>
        <v>0</v>
      </c>
      <c r="BI11" s="44">
        <f t="shared" si="4"/>
        <v>301000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10000000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0</v>
      </c>
      <c r="CD11" s="44">
        <f t="shared" si="5"/>
        <v>0</v>
      </c>
      <c r="CE11" s="46">
        <f t="shared" si="6"/>
        <v>0</v>
      </c>
      <c r="CF11" s="44">
        <f t="shared" si="7"/>
        <v>0</v>
      </c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6">
        <f t="shared" si="8"/>
        <v>1</v>
      </c>
      <c r="DE11" s="44">
        <f t="shared" si="13"/>
        <v>132908964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10000000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122607964</v>
      </c>
      <c r="EB11" s="44">
        <f t="shared" si="10"/>
        <v>0</v>
      </c>
    </row>
    <row r="12" spans="1:132" ht="20.45" customHeight="1" x14ac:dyDescent="0.25">
      <c r="A12" s="52"/>
      <c r="B12" s="58" t="s">
        <v>63</v>
      </c>
      <c r="C12" s="59" t="s">
        <v>64</v>
      </c>
      <c r="D12" s="41" t="s">
        <v>65</v>
      </c>
      <c r="E12" s="42">
        <v>310</v>
      </c>
      <c r="F12" s="43" t="s">
        <v>60</v>
      </c>
      <c r="G12" s="44">
        <f t="shared" si="0"/>
        <v>0</v>
      </c>
      <c r="H12" s="45">
        <v>15000000</v>
      </c>
      <c r="I12" s="45">
        <f t="shared" si="11"/>
        <v>15000000</v>
      </c>
      <c r="J12" s="44"/>
      <c r="K12" s="44"/>
      <c r="L12" s="44"/>
      <c r="M12" s="44">
        <f>150000000-150000000</f>
        <v>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6" t="e">
        <f t="shared" si="1"/>
        <v>#DIV/0!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 t="e">
        <f t="shared" si="12"/>
        <v>#DIV/0!</v>
      </c>
      <c r="BG12" s="44">
        <f t="shared" si="3"/>
        <v>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 t="e">
        <f t="shared" si="6"/>
        <v>#DIV/0!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 t="e">
        <f t="shared" si="8"/>
        <v>#DIV/0!</v>
      </c>
      <c r="DE12" s="44">
        <f t="shared" si="13"/>
        <v>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</row>
    <row r="13" spans="1:132" ht="22.5" customHeight="1" x14ac:dyDescent="0.25">
      <c r="A13" s="52"/>
      <c r="B13" s="60"/>
      <c r="C13" s="59" t="s">
        <v>66</v>
      </c>
      <c r="D13" s="54" t="s">
        <v>67</v>
      </c>
      <c r="E13" s="42">
        <v>310</v>
      </c>
      <c r="F13" s="43" t="s">
        <v>60</v>
      </c>
      <c r="G13" s="44">
        <f t="shared" si="0"/>
        <v>717909418</v>
      </c>
      <c r="H13" s="45">
        <v>1329277636</v>
      </c>
      <c r="I13" s="45">
        <f t="shared" si="11"/>
        <v>611368218</v>
      </c>
      <c r="J13" s="44"/>
      <c r="K13" s="44">
        <v>100000000</v>
      </c>
      <c r="L13" s="44"/>
      <c r="M13" s="44">
        <f>328050814+150000000</f>
        <v>478050814</v>
      </c>
      <c r="N13" s="44"/>
      <c r="O13" s="44"/>
      <c r="P13" s="44"/>
      <c r="Q13" s="44"/>
      <c r="R13" s="44"/>
      <c r="S13" s="44"/>
      <c r="T13" s="44"/>
      <c r="U13" s="44">
        <f>21358604</f>
        <v>21358604</v>
      </c>
      <c r="V13" s="44"/>
      <c r="W13" s="44"/>
      <c r="X13" s="44"/>
      <c r="Y13" s="44"/>
      <c r="Z13" s="44">
        <v>100000000</v>
      </c>
      <c r="AA13" s="44"/>
      <c r="AB13" s="44"/>
      <c r="AC13" s="44"/>
      <c r="AD13" s="44"/>
      <c r="AE13" s="44"/>
      <c r="AF13" s="44">
        <f>15000000+8000000-4500000</f>
        <v>18500000</v>
      </c>
      <c r="AG13" s="46">
        <f t="shared" si="1"/>
        <v>0.94428266436253938</v>
      </c>
      <c r="AH13" s="44">
        <f t="shared" si="2"/>
        <v>677909418</v>
      </c>
      <c r="AI13" s="44"/>
      <c r="AJ13" s="44">
        <f>+'[6]Acuerdo PLAN INVERSIÓN 2021'!$J$133</f>
        <v>100000000</v>
      </c>
      <c r="AK13" s="44"/>
      <c r="AL13" s="44">
        <f>+'[5]Acuerdo PLAN INVERSIÓN 2021'!$M$138</f>
        <v>478050814</v>
      </c>
      <c r="AM13" s="44"/>
      <c r="AN13" s="44"/>
      <c r="AO13" s="44"/>
      <c r="AP13" s="44"/>
      <c r="AQ13" s="44"/>
      <c r="AR13" s="44"/>
      <c r="AS13" s="44"/>
      <c r="AT13" s="44">
        <f>+'[7]Acuerdo PLAN INVERSIÓN 2021'!$O$86</f>
        <v>21358604</v>
      </c>
      <c r="AU13" s="44"/>
      <c r="AV13" s="44"/>
      <c r="AW13" s="44"/>
      <c r="AX13" s="44"/>
      <c r="AY13" s="44">
        <f>+'[1]Acuerdo PLAN INVERSIÓN 2021'!$AA$128</f>
        <v>60000000</v>
      </c>
      <c r="AZ13" s="44"/>
      <c r="BA13" s="44"/>
      <c r="BB13" s="44"/>
      <c r="BC13" s="44"/>
      <c r="BD13" s="44"/>
      <c r="BE13" s="44">
        <f>+'[7]Acuerdo PLAN INVERSIÓN 2021'!$AF$86+'[2]Acuerdo PLAN INVERSIÓN 2021'!$G$154</f>
        <v>18500000</v>
      </c>
      <c r="BF13" s="46">
        <f t="shared" si="12"/>
        <v>5.5717335637460619E-2</v>
      </c>
      <c r="BG13" s="44">
        <f t="shared" si="3"/>
        <v>40000000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0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40000000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0.53844928525509328</v>
      </c>
      <c r="CF13" s="44">
        <f t="shared" si="7"/>
        <v>386557813</v>
      </c>
      <c r="CG13" s="44"/>
      <c r="CH13" s="44">
        <f>+'[5]Acuerdo PLAN INVERSIÓN 2021'!$H$139+'[5]Acuerdo PLAN INVERSIÓN 2021'!$H$191+'[5]Acuerdo PLAN INVERSIÓN 2021'!$H$210</f>
        <v>63345745</v>
      </c>
      <c r="CI13" s="44"/>
      <c r="CJ13" s="44">
        <f>+'[5]Acuerdo PLAN INVERSIÓN 2021'!$H$195+'[5]Acuerdo PLAN INVERSIÓN 2021'!$H$214</f>
        <v>227250473</v>
      </c>
      <c r="CK13" s="44"/>
      <c r="CL13" s="44"/>
      <c r="CM13" s="44"/>
      <c r="CN13" s="44"/>
      <c r="CO13" s="44"/>
      <c r="CP13" s="44"/>
      <c r="CQ13" s="44"/>
      <c r="CR13" s="44">
        <f>+'[5]Acuerdo PLAN INVERSIÓN 2021'!$H$177+'[5]Acuerdo PLAN INVERSIÓN 2021'!$H$181</f>
        <v>18174807</v>
      </c>
      <c r="CS13" s="44"/>
      <c r="CT13" s="44"/>
      <c r="CU13" s="44"/>
      <c r="CV13" s="44"/>
      <c r="CW13" s="44">
        <f>+'[5]Acuerdo PLAN INVERSIÓN 2021'!$H$155</f>
        <v>59286788</v>
      </c>
      <c r="CX13" s="44"/>
      <c r="CY13" s="44"/>
      <c r="CZ13" s="44"/>
      <c r="DA13" s="44"/>
      <c r="DB13" s="44"/>
      <c r="DC13" s="44">
        <f>+'[5]Acuerdo PLAN INVERSIÓN 2021'!$H$169+'[5]Acuerdo PLAN INVERSIÓN 2021'!$H$174+'[5]Acuerdo PLAN INVERSIÓN 2021'!$H$187</f>
        <v>18500000</v>
      </c>
      <c r="DD13" s="46">
        <f t="shared" si="8"/>
        <v>0.46155071474490672</v>
      </c>
      <c r="DE13" s="44">
        <f t="shared" si="13"/>
        <v>331351605</v>
      </c>
      <c r="DF13" s="44">
        <f t="shared" si="9"/>
        <v>0</v>
      </c>
      <c r="DG13" s="44">
        <f t="shared" si="9"/>
        <v>36654255</v>
      </c>
      <c r="DH13" s="44">
        <f t="shared" si="9"/>
        <v>0</v>
      </c>
      <c r="DI13" s="44">
        <f t="shared" si="9"/>
        <v>250800341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3183797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40713212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0</v>
      </c>
    </row>
    <row r="14" spans="1:132" ht="26.25" customHeight="1" x14ac:dyDescent="0.25">
      <c r="A14" s="52"/>
      <c r="B14" s="60"/>
      <c r="C14" s="40" t="s">
        <v>68</v>
      </c>
      <c r="D14" s="54" t="s">
        <v>69</v>
      </c>
      <c r="E14" s="42">
        <v>310</v>
      </c>
      <c r="F14" s="43" t="s">
        <v>70</v>
      </c>
      <c r="G14" s="44">
        <f t="shared" si="0"/>
        <v>50000000</v>
      </c>
      <c r="H14" s="45">
        <v>90000000</v>
      </c>
      <c r="I14" s="45">
        <f t="shared" si="11"/>
        <v>40000000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>
        <v>50000000</v>
      </c>
      <c r="AA14" s="44"/>
      <c r="AB14" s="44"/>
      <c r="AC14" s="44"/>
      <c r="AD14" s="44"/>
      <c r="AE14" s="44"/>
      <c r="AF14" s="44">
        <f>8000000-8000000</f>
        <v>0</v>
      </c>
      <c r="AG14" s="46">
        <f t="shared" si="1"/>
        <v>1</v>
      </c>
      <c r="AH14" s="44">
        <f t="shared" si="2"/>
        <v>50000000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>
        <f>+'[8]Acuerdo PLAN INVERSIÓN 2021'!$Z$90</f>
        <v>50000000</v>
      </c>
      <c r="AZ14" s="44"/>
      <c r="BA14" s="44"/>
      <c r="BB14" s="44"/>
      <c r="BC14" s="44"/>
      <c r="BD14" s="44"/>
      <c r="BE14" s="44"/>
      <c r="BF14" s="46">
        <f t="shared" si="12"/>
        <v>0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>
        <f t="shared" si="6"/>
        <v>0.17158925999999999</v>
      </c>
      <c r="CF14" s="44">
        <f t="shared" si="7"/>
        <v>8579463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>
        <f>+'[5]Acuerdo PLAN INVERSIÓN 2021'!$H$217</f>
        <v>8579463</v>
      </c>
      <c r="CX14" s="44"/>
      <c r="CY14" s="44"/>
      <c r="CZ14" s="44"/>
      <c r="DA14" s="44"/>
      <c r="DB14" s="44"/>
      <c r="DC14" s="44"/>
      <c r="DD14" s="46">
        <f t="shared" si="8"/>
        <v>0.82841074000000003</v>
      </c>
      <c r="DE14" s="44">
        <f t="shared" si="13"/>
        <v>41420537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41420537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</row>
    <row r="15" spans="1:132" ht="48" customHeight="1" x14ac:dyDescent="0.25">
      <c r="A15" s="52"/>
      <c r="B15" s="60"/>
      <c r="C15" s="40" t="s">
        <v>71</v>
      </c>
      <c r="D15" s="41" t="s">
        <v>72</v>
      </c>
      <c r="E15" s="42">
        <v>310</v>
      </c>
      <c r="F15" s="43" t="s">
        <v>73</v>
      </c>
      <c r="G15" s="44">
        <f t="shared" si="0"/>
        <v>461524882</v>
      </c>
      <c r="H15" s="45">
        <v>628000000</v>
      </c>
      <c r="I15" s="45">
        <f t="shared" si="11"/>
        <v>166475118</v>
      </c>
      <c r="J15" s="44"/>
      <c r="K15" s="44">
        <f>100000000+37117235</f>
        <v>137117235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f>1576587</f>
        <v>1576587</v>
      </c>
      <c r="V15" s="44"/>
      <c r="W15" s="44"/>
      <c r="X15" s="44"/>
      <c r="Y15" s="44"/>
      <c r="Z15" s="44">
        <v>262000000</v>
      </c>
      <c r="AA15" s="44"/>
      <c r="AB15" s="44"/>
      <c r="AC15" s="44"/>
      <c r="AD15" s="44"/>
      <c r="AE15" s="44"/>
      <c r="AF15" s="44">
        <f>20000000+20400000+5000000+10931060+4500000</f>
        <v>60831060</v>
      </c>
      <c r="AG15" s="46">
        <f t="shared" si="1"/>
        <v>0.88641871967370978</v>
      </c>
      <c r="AH15" s="44">
        <f t="shared" si="2"/>
        <v>409104295</v>
      </c>
      <c r="AI15" s="44"/>
      <c r="AJ15" s="44">
        <f>+'[6]Acuerdo PLAN INVERSIÓN 2021'!$J$202</f>
        <v>117117235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>
        <f>+'[9]Acuerdo PLAN INVERSIÓN 2021'!$AA$114</f>
        <v>262000000</v>
      </c>
      <c r="AZ15" s="44"/>
      <c r="BA15" s="44"/>
      <c r="BB15" s="44"/>
      <c r="BC15" s="44"/>
      <c r="BD15" s="44"/>
      <c r="BE15" s="44">
        <f>+'[5]Acuerdo PLAN INVERSIÓN 2021'!$AF$229</f>
        <v>29987060</v>
      </c>
      <c r="BF15" s="46">
        <f t="shared" si="12"/>
        <v>0.11358128032629022</v>
      </c>
      <c r="BG15" s="44">
        <f t="shared" si="3"/>
        <v>52420587</v>
      </c>
      <c r="BH15" s="44">
        <f t="shared" si="4"/>
        <v>0</v>
      </c>
      <c r="BI15" s="44">
        <f t="shared" si="4"/>
        <v>20000000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1576587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30844000</v>
      </c>
      <c r="CE15" s="46">
        <f t="shared" si="6"/>
        <v>0.43739341663490205</v>
      </c>
      <c r="CF15" s="44">
        <f t="shared" si="7"/>
        <v>201867945</v>
      </c>
      <c r="CG15" s="44"/>
      <c r="CH15" s="44">
        <f>+'[5]Acuerdo PLAN INVERSIÓN 2021'!$H$230+'[5]Acuerdo PLAN INVERSIÓN 2021'!$H$335+'[5]Acuerdo PLAN INVERSIÓN 2021'!$H$357+'[5]Acuerdo PLAN INVERSIÓN 2021'!$H$361+'[5]Acuerdo PLAN INVERSIÓN 2021'!$H$382+'[5]Acuerdo PLAN INVERSIÓN 2021'!$H$394</f>
        <v>89418632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>
        <f>+'[5]Acuerdo PLAN INVERSIÓN 2021'!$H$227-DC15-CH15</f>
        <v>85670635</v>
      </c>
      <c r="CX15" s="44"/>
      <c r="CY15" s="44"/>
      <c r="CZ15" s="44"/>
      <c r="DA15" s="44"/>
      <c r="DB15" s="44"/>
      <c r="DC15" s="44">
        <f>+'[5]Acuerdo PLAN INVERSIÓN 2021'!$H$339+'[5]Acuerdo PLAN INVERSIÓN 2021'!$H$346+'[5]Acuerdo PLAN INVERSIÓN 2021'!$H$354+'[5]Acuerdo PLAN INVERSIÓN 2021'!$H$367+'[5]Acuerdo PLAN INVERSIÓN 2021'!$H$373+'[5]Acuerdo PLAN INVERSIÓN 2021'!$H$376+'[5]Acuerdo PLAN INVERSIÓN 2021'!$H$385+'[5]Acuerdo PLAN INVERSIÓN 2021'!$H$390</f>
        <v>26778678</v>
      </c>
      <c r="DD15" s="46">
        <f t="shared" si="8"/>
        <v>0.56260658336509795</v>
      </c>
      <c r="DE15" s="44">
        <f t="shared" si="13"/>
        <v>259656937</v>
      </c>
      <c r="DF15" s="44">
        <f t="shared" si="9"/>
        <v>0</v>
      </c>
      <c r="DG15" s="44">
        <f t="shared" si="9"/>
        <v>47698603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1576587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176329365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34052382</v>
      </c>
    </row>
    <row r="16" spans="1:132" ht="26.25" customHeight="1" x14ac:dyDescent="0.25">
      <c r="A16" s="52"/>
      <c r="B16" s="61"/>
      <c r="C16" s="40" t="s">
        <v>74</v>
      </c>
      <c r="D16" s="41" t="s">
        <v>75</v>
      </c>
      <c r="E16" s="42">
        <v>310</v>
      </c>
      <c r="F16" s="43" t="s">
        <v>60</v>
      </c>
      <c r="G16" s="44">
        <f t="shared" si="0"/>
        <v>22066667</v>
      </c>
      <c r="H16" s="45">
        <v>80000000</v>
      </c>
      <c r="I16" s="45">
        <f t="shared" si="11"/>
        <v>57933333</v>
      </c>
      <c r="J16" s="44"/>
      <c r="K16" s="44">
        <f>2066667</f>
        <v>2066667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>
        <v>20000000</v>
      </c>
      <c r="AA16" s="44"/>
      <c r="AB16" s="44"/>
      <c r="AC16" s="44"/>
      <c r="AD16" s="44"/>
      <c r="AE16" s="44"/>
      <c r="AF16" s="44"/>
      <c r="AG16" s="46">
        <f t="shared" si="1"/>
        <v>0</v>
      </c>
      <c r="AH16" s="44">
        <f t="shared" si="2"/>
        <v>0</v>
      </c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2"/>
        <v>1</v>
      </c>
      <c r="BG16" s="44">
        <f t="shared" si="3"/>
        <v>22066667</v>
      </c>
      <c r="BH16" s="44">
        <f t="shared" si="4"/>
        <v>0</v>
      </c>
      <c r="BI16" s="44">
        <f t="shared" si="4"/>
        <v>2066667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20000000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</v>
      </c>
      <c r="CF16" s="44">
        <f t="shared" si="7"/>
        <v>0</v>
      </c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1</v>
      </c>
      <c r="DE16" s="44">
        <f t="shared" si="13"/>
        <v>22066667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20000000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</row>
    <row r="17" spans="1:132" ht="65.25" customHeight="1" x14ac:dyDescent="0.25">
      <c r="A17" s="52"/>
      <c r="B17" s="39" t="s">
        <v>76</v>
      </c>
      <c r="C17" s="62" t="s">
        <v>77</v>
      </c>
      <c r="D17" s="54" t="s">
        <v>78</v>
      </c>
      <c r="E17" s="42">
        <v>510</v>
      </c>
      <c r="F17" s="43" t="s">
        <v>79</v>
      </c>
      <c r="G17" s="44">
        <f t="shared" si="0"/>
        <v>313199723</v>
      </c>
      <c r="H17" s="45">
        <v>150000000</v>
      </c>
      <c r="I17" s="45">
        <f t="shared" si="11"/>
        <v>-163199723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>
        <v>100000000</v>
      </c>
      <c r="AA17" s="44"/>
      <c r="AB17" s="44">
        <f>34000000+73168075-10000000</f>
        <v>97168075</v>
      </c>
      <c r="AC17" s="44"/>
      <c r="AD17" s="44"/>
      <c r="AE17" s="44"/>
      <c r="AF17" s="44">
        <f>53000000+8000000+13750000+10000000+10000000+10284982+10996666</f>
        <v>116031648</v>
      </c>
      <c r="AG17" s="46">
        <f t="shared" si="1"/>
        <v>0.94317789993703161</v>
      </c>
      <c r="AH17" s="44">
        <f t="shared" si="2"/>
        <v>295403057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>
        <f>+'[10]Acuerdo PLAN INVERSIÓN 2021'!$Z$98</f>
        <v>100000000</v>
      </c>
      <c r="AZ17" s="44"/>
      <c r="BA17" s="44">
        <f>+'[1]Acuerdo PLAN INVERSIÓN 2021'!$Y$308</f>
        <v>93168075</v>
      </c>
      <c r="BB17" s="44"/>
      <c r="BC17" s="44"/>
      <c r="BD17" s="44"/>
      <c r="BE17" s="44">
        <f>+'[6]Acuerdo PLAN INVERSIÓN 2021'!$AF$362</f>
        <v>102234982</v>
      </c>
      <c r="BF17" s="46">
        <f t="shared" si="12"/>
        <v>5.6822100062968395E-2</v>
      </c>
      <c r="BG17" s="44">
        <f t="shared" si="3"/>
        <v>17796666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0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4000000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13796666</v>
      </c>
      <c r="CE17" s="46">
        <f t="shared" si="6"/>
        <v>0.9154085075611641</v>
      </c>
      <c r="CF17" s="44">
        <f t="shared" si="7"/>
        <v>286705691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>
        <f>+'[6]Acuerdo PLAN INVERSIÓN 2021'!$H$363</f>
        <v>99968332</v>
      </c>
      <c r="CX17" s="44"/>
      <c r="CY17" s="44">
        <f>+'[6]Acuerdo PLAN INVERSIÓN 2021'!$H$403+'[6]Acuerdo PLAN INVERSIÓN 2021'!$H$419</f>
        <v>87703330</v>
      </c>
      <c r="CZ17" s="44"/>
      <c r="DA17" s="44"/>
      <c r="DB17" s="44"/>
      <c r="DC17" s="44">
        <f>+'[6]Acuerdo PLAN INVERSIÓN 2021'!$H$372+'[6]Acuerdo PLAN INVERSIÓN 2021'!$H$376+'[6]Acuerdo PLAN INVERSIÓN 2021'!$H$379+'[6]Acuerdo PLAN INVERSIÓN 2021'!$H$382+'[6]Acuerdo PLAN INVERSIÓN 2021'!$H$385+'[6]Acuerdo PLAN INVERSIÓN 2021'!$H$388+'[6]Acuerdo PLAN INVERSIÓN 2021'!$H$392+'[6]Acuerdo PLAN INVERSIÓN 2021'!$H$395+'[6]Acuerdo PLAN INVERSIÓN 2021'!$H$399+'[6]Acuerdo PLAN INVERSIÓN 2021'!$H$411+'[6]Acuerdo PLAN INVERSIÓN 2021'!$H$414+'[6]Acuerdo PLAN INVERSIÓN 2021'!$H$429+'[6]Acuerdo PLAN INVERSIÓN 2021'!$H$432+'[5]Acuerdo PLAN INVERSIÓN 2021'!$H$507</f>
        <v>99034029</v>
      </c>
      <c r="DD17" s="46">
        <f t="shared" si="8"/>
        <v>8.4591492438835902E-2</v>
      </c>
      <c r="DE17" s="44">
        <f t="shared" si="13"/>
        <v>26494032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0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31668</v>
      </c>
      <c r="DW17" s="44">
        <f t="shared" si="10"/>
        <v>0</v>
      </c>
      <c r="DX17" s="44">
        <f t="shared" si="10"/>
        <v>9464745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16997619</v>
      </c>
    </row>
    <row r="18" spans="1:132" ht="33.6" customHeight="1" x14ac:dyDescent="0.25">
      <c r="A18" s="52"/>
      <c r="B18" s="51"/>
      <c r="C18" s="40" t="s">
        <v>80</v>
      </c>
      <c r="D18" s="41" t="s">
        <v>81</v>
      </c>
      <c r="E18" s="42">
        <v>510</v>
      </c>
      <c r="F18" s="43" t="s">
        <v>60</v>
      </c>
      <c r="G18" s="44">
        <f t="shared" si="0"/>
        <v>7236308</v>
      </c>
      <c r="H18" s="45">
        <v>51000000</v>
      </c>
      <c r="I18" s="45">
        <f t="shared" si="11"/>
        <v>43763692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2236308</f>
        <v>2236308</v>
      </c>
      <c r="V18" s="44"/>
      <c r="W18" s="44"/>
      <c r="X18" s="44"/>
      <c r="Y18" s="44"/>
      <c r="Z18" s="44">
        <v>5000000</v>
      </c>
      <c r="AA18" s="44"/>
      <c r="AB18" s="44"/>
      <c r="AC18" s="44"/>
      <c r="AD18" s="44"/>
      <c r="AE18" s="44"/>
      <c r="AF18" s="44"/>
      <c r="AG18" s="46">
        <f t="shared" si="1"/>
        <v>0</v>
      </c>
      <c r="AH18" s="44">
        <f t="shared" si="2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2"/>
        <v>1</v>
      </c>
      <c r="BG18" s="44">
        <f t="shared" si="3"/>
        <v>7236308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2236308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5000000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3"/>
        <v>7236308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2236308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5000000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0</v>
      </c>
    </row>
    <row r="19" spans="1:132" ht="33" customHeight="1" x14ac:dyDescent="0.25">
      <c r="A19" s="52"/>
      <c r="B19" s="63"/>
      <c r="C19" s="40" t="s">
        <v>82</v>
      </c>
      <c r="D19" s="41" t="s">
        <v>83</v>
      </c>
      <c r="E19" s="42">
        <v>510</v>
      </c>
      <c r="F19" s="43" t="s">
        <v>60</v>
      </c>
      <c r="G19" s="44">
        <f t="shared" si="0"/>
        <v>108281335</v>
      </c>
      <c r="H19" s="45">
        <v>100000000</v>
      </c>
      <c r="I19" s="45">
        <f t="shared" si="11"/>
        <v>-8281335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v>281335</v>
      </c>
      <c r="V19" s="44"/>
      <c r="W19" s="44"/>
      <c r="X19" s="44"/>
      <c r="Y19" s="44"/>
      <c r="Z19" s="44">
        <v>108000000</v>
      </c>
      <c r="AA19" s="44"/>
      <c r="AB19" s="44"/>
      <c r="AC19" s="44"/>
      <c r="AD19" s="44"/>
      <c r="AE19" s="44"/>
      <c r="AF19" s="44"/>
      <c r="AG19" s="46">
        <f t="shared" si="1"/>
        <v>0.99740181444936937</v>
      </c>
      <c r="AH19" s="44">
        <f t="shared" si="2"/>
        <v>108000000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>
        <f>+'[10]Acuerdo PLAN INVERSIÓN 2021'!$Z$118</f>
        <v>108000000</v>
      </c>
      <c r="AZ19" s="44"/>
      <c r="BA19" s="44"/>
      <c r="BB19" s="44"/>
      <c r="BC19" s="44"/>
      <c r="BD19" s="44"/>
      <c r="BE19" s="44"/>
      <c r="BF19" s="46">
        <f t="shared" si="12"/>
        <v>2.5981855506306273E-3</v>
      </c>
      <c r="BG19" s="44">
        <f t="shared" si="3"/>
        <v>281335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281335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0.99740181444936937</v>
      </c>
      <c r="CF19" s="44">
        <f t="shared" si="7"/>
        <v>108000000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>
        <f>+'[1]Acuerdo PLAN INVERSIÓN 2021'!$H$382</f>
        <v>108000000</v>
      </c>
      <c r="CX19" s="44"/>
      <c r="CY19" s="44"/>
      <c r="CZ19" s="44"/>
      <c r="DA19" s="44"/>
      <c r="DB19" s="44"/>
      <c r="DC19" s="44"/>
      <c r="DD19" s="46">
        <f t="shared" si="8"/>
        <v>2.5981855506306273E-3</v>
      </c>
      <c r="DE19" s="44">
        <f t="shared" si="13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</row>
    <row r="20" spans="1:132" ht="51" customHeight="1" x14ac:dyDescent="0.25">
      <c r="A20" s="52"/>
      <c r="B20" s="64" t="s">
        <v>84</v>
      </c>
      <c r="C20" s="59" t="s">
        <v>85</v>
      </c>
      <c r="D20" s="54" t="s">
        <v>86</v>
      </c>
      <c r="E20" s="42">
        <v>510</v>
      </c>
      <c r="F20" s="65" t="s">
        <v>87</v>
      </c>
      <c r="G20" s="44">
        <f t="shared" si="0"/>
        <v>18620000</v>
      </c>
      <c r="H20" s="45">
        <v>20000000</v>
      </c>
      <c r="I20" s="45">
        <f t="shared" si="11"/>
        <v>1380000</v>
      </c>
      <c r="J20" s="44"/>
      <c r="K20" s="44">
        <v>12620000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>
        <v>6000000</v>
      </c>
      <c r="AA20" s="44"/>
      <c r="AB20" s="44"/>
      <c r="AC20" s="44"/>
      <c r="AD20" s="44"/>
      <c r="AE20" s="44"/>
      <c r="AF20" s="44"/>
      <c r="AG20" s="46">
        <f t="shared" si="1"/>
        <v>0</v>
      </c>
      <c r="AH20" s="44">
        <f t="shared" si="2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2"/>
        <v>1</v>
      </c>
      <c r="BG20" s="44">
        <f t="shared" si="3"/>
        <v>18620000</v>
      </c>
      <c r="BH20" s="44">
        <f t="shared" si="4"/>
        <v>0</v>
      </c>
      <c r="BI20" s="44">
        <f t="shared" si="4"/>
        <v>12620000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6000000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3"/>
        <v>18620000</v>
      </c>
      <c r="DF20" s="44">
        <f t="shared" si="9"/>
        <v>0</v>
      </c>
      <c r="DG20" s="44">
        <f t="shared" si="9"/>
        <v>12620000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6000000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</row>
    <row r="21" spans="1:132" ht="34.5" customHeight="1" x14ac:dyDescent="0.25">
      <c r="A21" s="52"/>
      <c r="B21" s="39" t="s">
        <v>88</v>
      </c>
      <c r="C21" s="59" t="s">
        <v>89</v>
      </c>
      <c r="D21" s="54" t="s">
        <v>90</v>
      </c>
      <c r="E21" s="42">
        <v>510</v>
      </c>
      <c r="F21" s="43" t="s">
        <v>91</v>
      </c>
      <c r="G21" s="44">
        <f t="shared" si="0"/>
        <v>15146334</v>
      </c>
      <c r="H21" s="45">
        <v>20000000</v>
      </c>
      <c r="I21" s="45">
        <f t="shared" si="11"/>
        <v>4853666</v>
      </c>
      <c r="J21" s="44"/>
      <c r="K21" s="44">
        <v>146334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>
        <v>15000000</v>
      </c>
      <c r="AA21" s="44"/>
      <c r="AB21" s="44"/>
      <c r="AC21" s="44"/>
      <c r="AD21" s="44"/>
      <c r="AE21" s="44"/>
      <c r="AF21" s="44"/>
      <c r="AG21" s="46">
        <f t="shared" si="1"/>
        <v>0.99033865224416684</v>
      </c>
      <c r="AH21" s="44">
        <f t="shared" si="2"/>
        <v>15000000</v>
      </c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>
        <f>+'[7]Acuerdo PLAN INVERSIÓN 2021'!$AA$241</f>
        <v>15000000</v>
      </c>
      <c r="AZ21" s="44"/>
      <c r="BA21" s="44"/>
      <c r="BB21" s="44"/>
      <c r="BC21" s="44"/>
      <c r="BD21" s="44"/>
      <c r="BE21" s="44"/>
      <c r="BF21" s="46">
        <f t="shared" si="12"/>
        <v>9.6613477558331606E-3</v>
      </c>
      <c r="BG21" s="44">
        <f t="shared" si="3"/>
        <v>146334</v>
      </c>
      <c r="BH21" s="44">
        <f t="shared" si="4"/>
        <v>0</v>
      </c>
      <c r="BI21" s="44">
        <f t="shared" si="4"/>
        <v>146334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0.99033865224416684</v>
      </c>
      <c r="CF21" s="44">
        <f t="shared" si="7"/>
        <v>15000000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>
        <f>+'[4]Acuerdo PLAN INVERSIÓN 2021'!$H$277</f>
        <v>15000000</v>
      </c>
      <c r="CX21" s="44"/>
      <c r="CY21" s="44"/>
      <c r="CZ21" s="44"/>
      <c r="DA21" s="44"/>
      <c r="DB21" s="44"/>
      <c r="DC21" s="44"/>
      <c r="DD21" s="46">
        <f t="shared" si="8"/>
        <v>9.6613477558331606E-3</v>
      </c>
      <c r="DE21" s="44">
        <f t="shared" si="13"/>
        <v>146334</v>
      </c>
      <c r="DF21" s="44">
        <f t="shared" si="9"/>
        <v>0</v>
      </c>
      <c r="DG21" s="44">
        <f t="shared" si="9"/>
        <v>146334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</row>
    <row r="22" spans="1:132" ht="39.75" customHeight="1" x14ac:dyDescent="0.25">
      <c r="A22" s="52"/>
      <c r="B22" s="51"/>
      <c r="C22" s="59" t="s">
        <v>92</v>
      </c>
      <c r="D22" s="54" t="s">
        <v>93</v>
      </c>
      <c r="E22" s="42">
        <v>510</v>
      </c>
      <c r="F22" s="43" t="s">
        <v>94</v>
      </c>
      <c r="G22" s="44">
        <f t="shared" si="0"/>
        <v>98465974</v>
      </c>
      <c r="H22" s="45">
        <v>150000000</v>
      </c>
      <c r="I22" s="45">
        <f t="shared" si="11"/>
        <v>51534026</v>
      </c>
      <c r="J22" s="44"/>
      <c r="K22" s="44">
        <f>65000000+1465974</f>
        <v>66465974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32000000+5000000-5000000</f>
        <v>32000000</v>
      </c>
      <c r="AG22" s="46">
        <f t="shared" si="1"/>
        <v>0.76276772522455316</v>
      </c>
      <c r="AH22" s="44">
        <f t="shared" si="2"/>
        <v>75106667</v>
      </c>
      <c r="AI22" s="44"/>
      <c r="AJ22" s="44">
        <f>+'[5]Acuerdo PLAN INVERSIÓN 2021'!$J$547</f>
        <v>57106667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+'[2]Acuerdo PLAN INVERSIÓN 2021'!$AF$362</f>
        <v>18000000</v>
      </c>
      <c r="BF22" s="46">
        <f t="shared" si="12"/>
        <v>0.23723227477544684</v>
      </c>
      <c r="BG22" s="44">
        <f t="shared" si="3"/>
        <v>23359307</v>
      </c>
      <c r="BH22" s="44">
        <f t="shared" ref="BH22:BV23" si="14">+J22-AI22</f>
        <v>0</v>
      </c>
      <c r="BI22" s="44">
        <f t="shared" si="14"/>
        <v>9359307</v>
      </c>
      <c r="BJ22" s="44">
        <f t="shared" si="14"/>
        <v>0</v>
      </c>
      <c r="BK22" s="44">
        <f t="shared" si="14"/>
        <v>0</v>
      </c>
      <c r="BL22" s="44">
        <f t="shared" si="14"/>
        <v>0</v>
      </c>
      <c r="BM22" s="44">
        <f t="shared" si="14"/>
        <v>0</v>
      </c>
      <c r="BN22" s="44">
        <f t="shared" si="14"/>
        <v>0</v>
      </c>
      <c r="BO22" s="44">
        <f t="shared" si="14"/>
        <v>0</v>
      </c>
      <c r="BP22" s="44">
        <f t="shared" si="14"/>
        <v>0</v>
      </c>
      <c r="BQ22" s="44">
        <f t="shared" si="14"/>
        <v>0</v>
      </c>
      <c r="BR22" s="44">
        <f t="shared" si="14"/>
        <v>0</v>
      </c>
      <c r="BS22" s="44">
        <f t="shared" si="14"/>
        <v>0</v>
      </c>
      <c r="BT22" s="44">
        <f t="shared" si="14"/>
        <v>0</v>
      </c>
      <c r="BU22" s="44">
        <f t="shared" si="14"/>
        <v>0</v>
      </c>
      <c r="BV22" s="44">
        <f t="shared" si="14"/>
        <v>0</v>
      </c>
      <c r="BW22" s="44">
        <f>+Y22-AX22</f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14000000</v>
      </c>
      <c r="CE22" s="46">
        <f t="shared" si="6"/>
        <v>0.73085388867427448</v>
      </c>
      <c r="CF22" s="44">
        <f t="shared" si="7"/>
        <v>71964240</v>
      </c>
      <c r="CG22" s="44"/>
      <c r="CH22" s="44">
        <f>+'[5]Acuerdo PLAN INVERSIÓN 2021'!$H$548+'[5]Acuerdo PLAN INVERSIÓN 2021'!$H$551+'[5]Acuerdo PLAN INVERSIÓN 2021'!$H$565+'[5]Acuerdo PLAN INVERSIÓN 2021'!$H$576</f>
        <v>55163242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+'[5]Acuerdo PLAN INVERSIÓN 2021'!$H$554+'[5]Acuerdo PLAN INVERSIÓN 2021'!$H$557+'[5]Acuerdo PLAN INVERSIÓN 2021'!$H$560+'[5]Acuerdo PLAN INVERSIÓN 2021'!$H$572</f>
        <v>16800998</v>
      </c>
      <c r="DD22" s="46">
        <f t="shared" si="8"/>
        <v>0.26914611132572552</v>
      </c>
      <c r="DE22" s="44">
        <f t="shared" si="13"/>
        <v>26501734</v>
      </c>
      <c r="DF22" s="44">
        <f t="shared" ref="DF22:DT23" si="15">+J22-CG22</f>
        <v>0</v>
      </c>
      <c r="DG22" s="44">
        <f t="shared" si="15"/>
        <v>11302732</v>
      </c>
      <c r="DH22" s="44">
        <f t="shared" si="15"/>
        <v>0</v>
      </c>
      <c r="DI22" s="44">
        <f t="shared" si="15"/>
        <v>0</v>
      </c>
      <c r="DJ22" s="44">
        <f t="shared" si="15"/>
        <v>0</v>
      </c>
      <c r="DK22" s="44">
        <f t="shared" si="15"/>
        <v>0</v>
      </c>
      <c r="DL22" s="44">
        <f t="shared" si="15"/>
        <v>0</v>
      </c>
      <c r="DM22" s="44">
        <f t="shared" si="15"/>
        <v>0</v>
      </c>
      <c r="DN22" s="44">
        <f t="shared" si="15"/>
        <v>0</v>
      </c>
      <c r="DO22" s="44">
        <f t="shared" si="15"/>
        <v>0</v>
      </c>
      <c r="DP22" s="44">
        <f t="shared" si="15"/>
        <v>0</v>
      </c>
      <c r="DQ22" s="44">
        <f t="shared" si="15"/>
        <v>0</v>
      </c>
      <c r="DR22" s="44">
        <f t="shared" si="15"/>
        <v>0</v>
      </c>
      <c r="DS22" s="44">
        <f t="shared" si="15"/>
        <v>0</v>
      </c>
      <c r="DT22" s="44">
        <f t="shared" si="15"/>
        <v>0</v>
      </c>
      <c r="DU22" s="44">
        <f>+Y22-CV22</f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15199002</v>
      </c>
    </row>
    <row r="23" spans="1:132" ht="36" customHeight="1" x14ac:dyDescent="0.25">
      <c r="A23" s="52"/>
      <c r="B23" s="63"/>
      <c r="C23" s="59" t="s">
        <v>95</v>
      </c>
      <c r="D23" s="54" t="s">
        <v>96</v>
      </c>
      <c r="E23" s="42">
        <v>510</v>
      </c>
      <c r="F23" s="43" t="s">
        <v>91</v>
      </c>
      <c r="G23" s="44">
        <f t="shared" si="0"/>
        <v>29046667</v>
      </c>
      <c r="H23" s="45">
        <v>100000000</v>
      </c>
      <c r="I23" s="45">
        <f t="shared" si="11"/>
        <v>70953333</v>
      </c>
      <c r="J23" s="44"/>
      <c r="K23" s="44">
        <v>8227425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v>5819242</v>
      </c>
      <c r="V23" s="44"/>
      <c r="W23" s="44"/>
      <c r="X23" s="44"/>
      <c r="Y23" s="44"/>
      <c r="Z23" s="44">
        <v>15000000</v>
      </c>
      <c r="AA23" s="44"/>
      <c r="AB23" s="44"/>
      <c r="AC23" s="44"/>
      <c r="AD23" s="44"/>
      <c r="AE23" s="44"/>
      <c r="AF23" s="44"/>
      <c r="AG23" s="46">
        <f t="shared" si="1"/>
        <v>1</v>
      </c>
      <c r="AH23" s="44">
        <f t="shared" si="2"/>
        <v>29046667</v>
      </c>
      <c r="AI23" s="44"/>
      <c r="AJ23" s="44">
        <f>+'[5]Acuerdo PLAN INVERSIÓN 2021'!$J$581</f>
        <v>8227425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>
        <f>+'[11]Acuerdo PLAN INVERSIÓN 2021'!$O$217</f>
        <v>5819242</v>
      </c>
      <c r="AU23" s="44"/>
      <c r="AV23" s="44"/>
      <c r="AW23" s="44"/>
      <c r="AX23" s="44"/>
      <c r="AY23" s="44">
        <f>+'[6]Acuerdo PLAN INVERSIÓN 2021'!$AA$499</f>
        <v>15000000</v>
      </c>
      <c r="AZ23" s="44"/>
      <c r="BA23" s="44"/>
      <c r="BB23" s="44"/>
      <c r="BC23" s="44"/>
      <c r="BD23" s="44"/>
      <c r="BE23" s="44"/>
      <c r="BF23" s="46">
        <f t="shared" si="12"/>
        <v>0</v>
      </c>
      <c r="BG23" s="44">
        <f t="shared" si="3"/>
        <v>0</v>
      </c>
      <c r="BH23" s="44">
        <f t="shared" si="14"/>
        <v>0</v>
      </c>
      <c r="BI23" s="44">
        <f t="shared" si="14"/>
        <v>0</v>
      </c>
      <c r="BJ23" s="44">
        <f t="shared" si="14"/>
        <v>0</v>
      </c>
      <c r="BK23" s="44">
        <f t="shared" si="14"/>
        <v>0</v>
      </c>
      <c r="BL23" s="44">
        <f t="shared" si="14"/>
        <v>0</v>
      </c>
      <c r="BM23" s="44">
        <f t="shared" si="14"/>
        <v>0</v>
      </c>
      <c r="BN23" s="44">
        <f t="shared" si="14"/>
        <v>0</v>
      </c>
      <c r="BO23" s="44">
        <f t="shared" si="14"/>
        <v>0</v>
      </c>
      <c r="BP23" s="44">
        <f t="shared" si="14"/>
        <v>0</v>
      </c>
      <c r="BQ23" s="44">
        <f t="shared" si="14"/>
        <v>0</v>
      </c>
      <c r="BR23" s="44">
        <f t="shared" si="14"/>
        <v>0</v>
      </c>
      <c r="BS23" s="44">
        <f t="shared" si="14"/>
        <v>0</v>
      </c>
      <c r="BT23" s="44">
        <f t="shared" si="14"/>
        <v>0</v>
      </c>
      <c r="BU23" s="44">
        <f t="shared" si="14"/>
        <v>0</v>
      </c>
      <c r="BV23" s="44">
        <f t="shared" si="14"/>
        <v>0</v>
      </c>
      <c r="BW23" s="44">
        <f>+Y23-AX23</f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0.70644941810363304</v>
      </c>
      <c r="CF23" s="44">
        <f t="shared" si="7"/>
        <v>20520001</v>
      </c>
      <c r="CG23" s="44"/>
      <c r="CH23" s="44">
        <f>+'[9]Acuerdo PLAN INVERSIÓN 2021'!$H$253</f>
        <v>6114092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>
        <f>+'[9]Acuerdo PLAN INVERSIÓN 2021'!$H$249</f>
        <v>5819242</v>
      </c>
      <c r="CS23" s="44"/>
      <c r="CT23" s="44"/>
      <c r="CU23" s="44"/>
      <c r="CV23" s="44"/>
      <c r="CW23" s="44">
        <f>+'[5]Acuerdo PLAN INVERSIÓN 2021'!$H$590</f>
        <v>8586667</v>
      </c>
      <c r="CX23" s="44"/>
      <c r="CY23" s="44"/>
      <c r="CZ23" s="44"/>
      <c r="DA23" s="44"/>
      <c r="DB23" s="44"/>
      <c r="DC23" s="44"/>
      <c r="DD23" s="46">
        <f t="shared" si="8"/>
        <v>0.29355058189636696</v>
      </c>
      <c r="DE23" s="44">
        <f t="shared" si="13"/>
        <v>8526666</v>
      </c>
      <c r="DF23" s="44">
        <f t="shared" si="15"/>
        <v>0</v>
      </c>
      <c r="DG23" s="44">
        <f t="shared" si="15"/>
        <v>2113333</v>
      </c>
      <c r="DH23" s="44">
        <f t="shared" si="15"/>
        <v>0</v>
      </c>
      <c r="DI23" s="44">
        <f t="shared" si="15"/>
        <v>0</v>
      </c>
      <c r="DJ23" s="44">
        <f t="shared" si="15"/>
        <v>0</v>
      </c>
      <c r="DK23" s="44">
        <f t="shared" si="15"/>
        <v>0</v>
      </c>
      <c r="DL23" s="44">
        <f t="shared" si="15"/>
        <v>0</v>
      </c>
      <c r="DM23" s="44">
        <f t="shared" si="15"/>
        <v>0</v>
      </c>
      <c r="DN23" s="44">
        <f t="shared" si="15"/>
        <v>0</v>
      </c>
      <c r="DO23" s="44">
        <f t="shared" si="15"/>
        <v>0</v>
      </c>
      <c r="DP23" s="44">
        <f t="shared" si="15"/>
        <v>0</v>
      </c>
      <c r="DQ23" s="44">
        <f t="shared" si="15"/>
        <v>0</v>
      </c>
      <c r="DR23" s="44">
        <f t="shared" si="15"/>
        <v>0</v>
      </c>
      <c r="DS23" s="44">
        <f t="shared" si="15"/>
        <v>0</v>
      </c>
      <c r="DT23" s="44">
        <f t="shared" si="15"/>
        <v>0</v>
      </c>
      <c r="DU23" s="44">
        <f>+Y23-CV23</f>
        <v>0</v>
      </c>
      <c r="DV23" s="44">
        <f t="shared" si="10"/>
        <v>6413333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</row>
    <row r="24" spans="1:132" s="74" customFormat="1" ht="17.25" customHeight="1" thickBot="1" x14ac:dyDescent="0.3">
      <c r="A24" s="66"/>
      <c r="B24" s="67" t="s">
        <v>97</v>
      </c>
      <c r="C24" s="67"/>
      <c r="D24" s="67"/>
      <c r="E24" s="67"/>
      <c r="F24" s="68"/>
      <c r="G24" s="69">
        <f t="shared" ref="G24:AF24" si="16">SUM(G6:G23)</f>
        <v>2672814183</v>
      </c>
      <c r="H24" s="70">
        <f t="shared" si="16"/>
        <v>2981877636</v>
      </c>
      <c r="I24" s="70">
        <f t="shared" si="16"/>
        <v>309063453</v>
      </c>
      <c r="J24" s="69">
        <f t="shared" si="16"/>
        <v>0</v>
      </c>
      <c r="K24" s="69">
        <f t="shared" si="16"/>
        <v>462145120</v>
      </c>
      <c r="L24" s="69">
        <f t="shared" si="16"/>
        <v>0</v>
      </c>
      <c r="M24" s="69">
        <f t="shared" si="16"/>
        <v>592050814</v>
      </c>
      <c r="N24" s="69">
        <f t="shared" si="16"/>
        <v>0</v>
      </c>
      <c r="O24" s="69">
        <f t="shared" si="16"/>
        <v>0</v>
      </c>
      <c r="P24" s="69">
        <f t="shared" si="16"/>
        <v>0</v>
      </c>
      <c r="Q24" s="69">
        <f t="shared" si="16"/>
        <v>0</v>
      </c>
      <c r="R24" s="69">
        <f t="shared" si="16"/>
        <v>0</v>
      </c>
      <c r="S24" s="69">
        <f t="shared" si="16"/>
        <v>0</v>
      </c>
      <c r="T24" s="69">
        <f t="shared" si="16"/>
        <v>0</v>
      </c>
      <c r="U24" s="69">
        <f t="shared" si="16"/>
        <v>31272076</v>
      </c>
      <c r="V24" s="69">
        <f t="shared" si="16"/>
        <v>0</v>
      </c>
      <c r="W24" s="69">
        <f t="shared" si="16"/>
        <v>0</v>
      </c>
      <c r="X24" s="69">
        <f t="shared" si="16"/>
        <v>0</v>
      </c>
      <c r="Y24" s="69">
        <f t="shared" si="16"/>
        <v>0</v>
      </c>
      <c r="Z24" s="69">
        <f t="shared" si="16"/>
        <v>752000000</v>
      </c>
      <c r="AA24" s="69">
        <f t="shared" si="16"/>
        <v>13636130</v>
      </c>
      <c r="AB24" s="69">
        <f t="shared" si="16"/>
        <v>97168075</v>
      </c>
      <c r="AC24" s="69">
        <f t="shared" si="16"/>
        <v>0</v>
      </c>
      <c r="AD24" s="69">
        <f t="shared" si="16"/>
        <v>0</v>
      </c>
      <c r="AE24" s="69">
        <f t="shared" si="16"/>
        <v>422607964</v>
      </c>
      <c r="AF24" s="69">
        <f t="shared" si="16"/>
        <v>301934004</v>
      </c>
      <c r="AG24" s="71">
        <f t="shared" si="1"/>
        <v>0.88906573757132745</v>
      </c>
      <c r="AH24" s="72">
        <f>SUM(AH6:AH23)</f>
        <v>2376307513</v>
      </c>
      <c r="AI24" s="72">
        <f t="shared" ref="AI24:BE24" si="17">SUM(AI6:AI23)</f>
        <v>0</v>
      </c>
      <c r="AJ24" s="72">
        <f t="shared" si="17"/>
        <v>382414153</v>
      </c>
      <c r="AK24" s="72">
        <f t="shared" si="17"/>
        <v>0</v>
      </c>
      <c r="AL24" s="72">
        <f t="shared" si="17"/>
        <v>592050814</v>
      </c>
      <c r="AM24" s="72">
        <f t="shared" si="17"/>
        <v>0</v>
      </c>
      <c r="AN24" s="72">
        <f t="shared" si="17"/>
        <v>0</v>
      </c>
      <c r="AO24" s="72">
        <f t="shared" si="17"/>
        <v>0</v>
      </c>
      <c r="AP24" s="72">
        <f t="shared" si="17"/>
        <v>0</v>
      </c>
      <c r="AQ24" s="72">
        <f t="shared" si="17"/>
        <v>0</v>
      </c>
      <c r="AR24" s="72">
        <f t="shared" si="17"/>
        <v>0</v>
      </c>
      <c r="AS24" s="72">
        <f t="shared" si="17"/>
        <v>0</v>
      </c>
      <c r="AT24" s="72">
        <f t="shared" si="17"/>
        <v>27177846</v>
      </c>
      <c r="AU24" s="72">
        <f t="shared" si="17"/>
        <v>0</v>
      </c>
      <c r="AV24" s="72">
        <f t="shared" si="17"/>
        <v>0</v>
      </c>
      <c r="AW24" s="72">
        <f t="shared" si="17"/>
        <v>0</v>
      </c>
      <c r="AX24" s="72">
        <f t="shared" si="17"/>
        <v>0</v>
      </c>
      <c r="AY24" s="72">
        <f t="shared" si="17"/>
        <v>637000000</v>
      </c>
      <c r="AZ24" s="72">
        <f t="shared" si="17"/>
        <v>0</v>
      </c>
      <c r="BA24" s="72">
        <f t="shared" si="17"/>
        <v>93168075</v>
      </c>
      <c r="BB24" s="72">
        <f t="shared" si="17"/>
        <v>0</v>
      </c>
      <c r="BC24" s="72">
        <f t="shared" si="17"/>
        <v>0</v>
      </c>
      <c r="BD24" s="72">
        <f t="shared" si="17"/>
        <v>422607964</v>
      </c>
      <c r="BE24" s="72">
        <f t="shared" si="17"/>
        <v>221888661</v>
      </c>
      <c r="BF24" s="73">
        <f t="shared" si="12"/>
        <v>0.11093426242867255</v>
      </c>
      <c r="BG24" s="72">
        <f t="shared" ref="BG24:DC24" si="18">SUM(BG6:BG23)</f>
        <v>296506670</v>
      </c>
      <c r="BH24" s="72">
        <f t="shared" si="18"/>
        <v>0</v>
      </c>
      <c r="BI24" s="72">
        <f t="shared" si="18"/>
        <v>79730967</v>
      </c>
      <c r="BJ24" s="72">
        <f t="shared" si="18"/>
        <v>0</v>
      </c>
      <c r="BK24" s="72">
        <f t="shared" si="18"/>
        <v>0</v>
      </c>
      <c r="BL24" s="72">
        <f t="shared" si="18"/>
        <v>0</v>
      </c>
      <c r="BM24" s="72">
        <f t="shared" si="18"/>
        <v>0</v>
      </c>
      <c r="BN24" s="72">
        <f t="shared" si="18"/>
        <v>0</v>
      </c>
      <c r="BO24" s="72">
        <f t="shared" si="18"/>
        <v>0</v>
      </c>
      <c r="BP24" s="72">
        <f t="shared" si="18"/>
        <v>0</v>
      </c>
      <c r="BQ24" s="72">
        <f t="shared" si="18"/>
        <v>0</v>
      </c>
      <c r="BR24" s="72">
        <f t="shared" si="18"/>
        <v>0</v>
      </c>
      <c r="BS24" s="72">
        <f t="shared" si="18"/>
        <v>4094230</v>
      </c>
      <c r="BT24" s="72">
        <f t="shared" si="18"/>
        <v>0</v>
      </c>
      <c r="BU24" s="72">
        <f t="shared" si="18"/>
        <v>0</v>
      </c>
      <c r="BV24" s="72">
        <f t="shared" si="18"/>
        <v>0</v>
      </c>
      <c r="BW24" s="72">
        <f t="shared" si="18"/>
        <v>0</v>
      </c>
      <c r="BX24" s="72">
        <f t="shared" si="18"/>
        <v>115000000</v>
      </c>
      <c r="BY24" s="72">
        <f t="shared" si="18"/>
        <v>13636130</v>
      </c>
      <c r="BZ24" s="72">
        <f t="shared" si="18"/>
        <v>4000000</v>
      </c>
      <c r="CA24" s="72">
        <f t="shared" si="18"/>
        <v>0</v>
      </c>
      <c r="CB24" s="72">
        <f t="shared" si="18"/>
        <v>0</v>
      </c>
      <c r="CC24" s="72">
        <f t="shared" si="18"/>
        <v>0</v>
      </c>
      <c r="CD24" s="72">
        <f t="shared" si="18"/>
        <v>80045343</v>
      </c>
      <c r="CE24" s="73">
        <f t="shared" si="6"/>
        <v>0.4755737136852809</v>
      </c>
      <c r="CF24" s="72">
        <f t="shared" si="18"/>
        <v>1271120167</v>
      </c>
      <c r="CG24" s="72">
        <f t="shared" si="18"/>
        <v>0</v>
      </c>
      <c r="CH24" s="72">
        <f t="shared" si="18"/>
        <v>313354535</v>
      </c>
      <c r="CI24" s="72">
        <f t="shared" si="18"/>
        <v>0</v>
      </c>
      <c r="CJ24" s="72">
        <f t="shared" si="18"/>
        <v>227250473</v>
      </c>
      <c r="CK24" s="72">
        <f t="shared" si="18"/>
        <v>0</v>
      </c>
      <c r="CL24" s="72">
        <f t="shared" si="18"/>
        <v>0</v>
      </c>
      <c r="CM24" s="72">
        <f t="shared" si="18"/>
        <v>0</v>
      </c>
      <c r="CN24" s="72">
        <f t="shared" si="18"/>
        <v>0</v>
      </c>
      <c r="CO24" s="72">
        <f t="shared" si="18"/>
        <v>0</v>
      </c>
      <c r="CP24" s="72">
        <f t="shared" si="18"/>
        <v>0</v>
      </c>
      <c r="CQ24" s="72">
        <f t="shared" si="18"/>
        <v>0</v>
      </c>
      <c r="CR24" s="72">
        <f t="shared" si="18"/>
        <v>23994049</v>
      </c>
      <c r="CS24" s="72">
        <f t="shared" si="18"/>
        <v>0</v>
      </c>
      <c r="CT24" s="72">
        <f t="shared" si="18"/>
        <v>0</v>
      </c>
      <c r="CU24" s="72">
        <f t="shared" si="18"/>
        <v>0</v>
      </c>
      <c r="CV24" s="72">
        <f t="shared" si="18"/>
        <v>0</v>
      </c>
      <c r="CW24" s="72">
        <f t="shared" si="18"/>
        <v>406539056</v>
      </c>
      <c r="CX24" s="72">
        <f t="shared" si="18"/>
        <v>0</v>
      </c>
      <c r="CY24" s="72">
        <f t="shared" si="18"/>
        <v>87703330</v>
      </c>
      <c r="CZ24" s="72">
        <f t="shared" si="18"/>
        <v>0</v>
      </c>
      <c r="DA24" s="72">
        <f t="shared" si="18"/>
        <v>0</v>
      </c>
      <c r="DB24" s="72">
        <f t="shared" si="18"/>
        <v>0</v>
      </c>
      <c r="DC24" s="72">
        <f t="shared" si="18"/>
        <v>212278724</v>
      </c>
      <c r="DD24" s="73">
        <f t="shared" si="8"/>
        <v>0.5244262863147191</v>
      </c>
      <c r="DE24" s="72">
        <f>SUM(DE6:DE23)</f>
        <v>1401694016</v>
      </c>
      <c r="DF24" s="72">
        <f t="shared" ref="DF24:EB24" si="19">SUM(DF6:DF23)</f>
        <v>0</v>
      </c>
      <c r="DG24" s="72">
        <f t="shared" si="19"/>
        <v>148790585</v>
      </c>
      <c r="DH24" s="72">
        <f t="shared" si="19"/>
        <v>0</v>
      </c>
      <c r="DI24" s="72">
        <f t="shared" si="19"/>
        <v>364800341</v>
      </c>
      <c r="DJ24" s="72">
        <f t="shared" si="19"/>
        <v>0</v>
      </c>
      <c r="DK24" s="72">
        <f t="shared" si="19"/>
        <v>0</v>
      </c>
      <c r="DL24" s="72">
        <f t="shared" si="19"/>
        <v>0</v>
      </c>
      <c r="DM24" s="72">
        <f t="shared" si="19"/>
        <v>0</v>
      </c>
      <c r="DN24" s="72">
        <f t="shared" si="19"/>
        <v>0</v>
      </c>
      <c r="DO24" s="72">
        <f t="shared" si="19"/>
        <v>0</v>
      </c>
      <c r="DP24" s="72">
        <f t="shared" si="19"/>
        <v>0</v>
      </c>
      <c r="DQ24" s="72">
        <f t="shared" si="19"/>
        <v>7278027</v>
      </c>
      <c r="DR24" s="72">
        <f t="shared" si="19"/>
        <v>0</v>
      </c>
      <c r="DS24" s="72">
        <f t="shared" si="19"/>
        <v>0</v>
      </c>
      <c r="DT24" s="72">
        <f t="shared" si="19"/>
        <v>0</v>
      </c>
      <c r="DU24" s="72">
        <f t="shared" si="19"/>
        <v>0</v>
      </c>
      <c r="DV24" s="72">
        <f t="shared" si="19"/>
        <v>345460944</v>
      </c>
      <c r="DW24" s="72">
        <f t="shared" si="19"/>
        <v>13636130</v>
      </c>
      <c r="DX24" s="72">
        <f t="shared" si="19"/>
        <v>9464745</v>
      </c>
      <c r="DY24" s="72">
        <f t="shared" si="19"/>
        <v>0</v>
      </c>
      <c r="DZ24" s="72">
        <f t="shared" si="19"/>
        <v>0</v>
      </c>
      <c r="EA24" s="72">
        <f t="shared" si="19"/>
        <v>422607964</v>
      </c>
      <c r="EB24" s="72">
        <f t="shared" si="19"/>
        <v>89655280</v>
      </c>
    </row>
    <row r="25" spans="1:132" ht="25.5" customHeight="1" thickTop="1" x14ac:dyDescent="0.25">
      <c r="A25" s="76" t="s">
        <v>98</v>
      </c>
      <c r="B25" s="77" t="s">
        <v>99</v>
      </c>
      <c r="C25" s="40" t="s">
        <v>100</v>
      </c>
      <c r="D25" s="41" t="s">
        <v>101</v>
      </c>
      <c r="E25" s="42">
        <v>410</v>
      </c>
      <c r="F25" s="43" t="s">
        <v>102</v>
      </c>
      <c r="G25" s="44">
        <f t="shared" ref="G25:G49" si="20">SUM(J25:AF25)</f>
        <v>116200000</v>
      </c>
      <c r="H25" s="45">
        <v>157000000</v>
      </c>
      <c r="I25" s="45">
        <f>H25-G25</f>
        <v>40800000</v>
      </c>
      <c r="J25" s="44"/>
      <c r="K25" s="44"/>
      <c r="L25" s="44"/>
      <c r="M25" s="44"/>
      <c r="N25" s="44"/>
      <c r="O25" s="44"/>
      <c r="P25" s="44"/>
      <c r="Q25" s="44">
        <f>30000000+14200000</f>
        <v>44200000</v>
      </c>
      <c r="R25" s="44">
        <f>7000000+20000000</f>
        <v>27000000</v>
      </c>
      <c r="S25" s="44">
        <f>10000000+10000000</f>
        <v>20000000</v>
      </c>
      <c r="T25" s="44">
        <v>10000000</v>
      </c>
      <c r="U25" s="78"/>
      <c r="V25" s="78"/>
      <c r="W25" s="78"/>
      <c r="X25" s="78">
        <f>15000000</f>
        <v>15000000</v>
      </c>
      <c r="Y25" s="78"/>
      <c r="Z25" s="44"/>
      <c r="AA25" s="78"/>
      <c r="AB25" s="78"/>
      <c r="AC25" s="78"/>
      <c r="AD25" s="78"/>
      <c r="AE25" s="78"/>
      <c r="AF25" s="78"/>
      <c r="AG25" s="79">
        <f t="shared" si="1"/>
        <v>0.8876936316695353</v>
      </c>
      <c r="AH25" s="44">
        <f t="shared" ref="AH25:AH49" si="21">SUM(AI25:BE25)</f>
        <v>103150000</v>
      </c>
      <c r="AI25" s="44"/>
      <c r="AJ25" s="44"/>
      <c r="AK25" s="44"/>
      <c r="AL25" s="44"/>
      <c r="AM25" s="44"/>
      <c r="AN25" s="44"/>
      <c r="AO25" s="44"/>
      <c r="AP25" s="44">
        <f>+'[6]Acuerdo PLAN INVERSIÓN 2021'!$S$516</f>
        <v>44200000</v>
      </c>
      <c r="AQ25" s="44">
        <f>+'[6]Acuerdo PLAN INVERSIÓN 2021'!$T$516</f>
        <v>13950000</v>
      </c>
      <c r="AR25" s="44">
        <f>+'[6]Acuerdo PLAN INVERSIÓN 2021'!$U$516</f>
        <v>20000000</v>
      </c>
      <c r="AS25" s="44">
        <f>+'[6]Acuerdo PLAN INVERSIÓN 2021'!$V$516</f>
        <v>10000000</v>
      </c>
      <c r="AT25" s="44"/>
      <c r="AU25" s="44"/>
      <c r="AV25" s="44"/>
      <c r="AW25" s="44">
        <f>+'[6]Acuerdo PLAN INVERSIÓN 2021'!$Q$516</f>
        <v>15000000</v>
      </c>
      <c r="AX25" s="44"/>
      <c r="AY25" s="44"/>
      <c r="AZ25" s="44"/>
      <c r="BA25" s="44"/>
      <c r="BB25" s="44"/>
      <c r="BC25" s="44"/>
      <c r="BD25" s="44"/>
      <c r="BE25" s="44"/>
      <c r="BF25" s="79">
        <f t="shared" si="12"/>
        <v>0.1123063683304647</v>
      </c>
      <c r="BG25" s="44">
        <f t="shared" ref="BG25:BG49" si="22">SUM(BH25:CD25)</f>
        <v>13050000</v>
      </c>
      <c r="BH25" s="44">
        <f t="shared" ref="BH25:BW40" si="23">+J25-AI25</f>
        <v>0</v>
      </c>
      <c r="BI25" s="44">
        <f t="shared" si="23"/>
        <v>0</v>
      </c>
      <c r="BJ25" s="44">
        <f t="shared" si="23"/>
        <v>0</v>
      </c>
      <c r="BK25" s="44">
        <f t="shared" si="23"/>
        <v>0</v>
      </c>
      <c r="BL25" s="44">
        <f t="shared" si="23"/>
        <v>0</v>
      </c>
      <c r="BM25" s="44">
        <f t="shared" si="23"/>
        <v>0</v>
      </c>
      <c r="BN25" s="44">
        <f t="shared" si="23"/>
        <v>0</v>
      </c>
      <c r="BO25" s="44">
        <f t="shared" si="23"/>
        <v>0</v>
      </c>
      <c r="BP25" s="44">
        <f t="shared" si="23"/>
        <v>13050000</v>
      </c>
      <c r="BQ25" s="44">
        <f t="shared" si="23"/>
        <v>0</v>
      </c>
      <c r="BR25" s="44">
        <f t="shared" si="23"/>
        <v>0</v>
      </c>
      <c r="BS25" s="44">
        <f t="shared" si="23"/>
        <v>0</v>
      </c>
      <c r="BT25" s="44">
        <f t="shared" si="23"/>
        <v>0</v>
      </c>
      <c r="BU25" s="44">
        <f t="shared" si="23"/>
        <v>0</v>
      </c>
      <c r="BV25" s="44">
        <f t="shared" si="23"/>
        <v>0</v>
      </c>
      <c r="BW25" s="44">
        <f t="shared" si="23"/>
        <v>0</v>
      </c>
      <c r="BX25" s="44">
        <f t="shared" ref="BX25:CD49" si="24">+Z25-AY25</f>
        <v>0</v>
      </c>
      <c r="BY25" s="44">
        <f t="shared" si="24"/>
        <v>0</v>
      </c>
      <c r="BZ25" s="44">
        <f t="shared" si="24"/>
        <v>0</v>
      </c>
      <c r="CA25" s="44">
        <f t="shared" si="24"/>
        <v>0</v>
      </c>
      <c r="CB25" s="44">
        <f t="shared" si="24"/>
        <v>0</v>
      </c>
      <c r="CC25" s="44">
        <f t="shared" si="24"/>
        <v>0</v>
      </c>
      <c r="CD25" s="44">
        <f t="shared" si="24"/>
        <v>0</v>
      </c>
      <c r="CE25" s="79">
        <f t="shared" si="6"/>
        <v>0.47894552495697074</v>
      </c>
      <c r="CF25" s="80">
        <f t="shared" ref="CF25:CF49" si="25">SUM(CG25:DC25)</f>
        <v>55653470</v>
      </c>
      <c r="CG25" s="80"/>
      <c r="CH25" s="80"/>
      <c r="CI25" s="80"/>
      <c r="CJ25" s="80"/>
      <c r="CK25" s="80"/>
      <c r="CL25" s="80"/>
      <c r="CM25" s="80"/>
      <c r="CN25" s="80">
        <f>+'[5]Acuerdo PLAN INVERSIÓN 2021'!$H$607+'[5]Acuerdo PLAN INVERSIÓN 2021'!$H$619+'[5]Acuerdo PLAN INVERSIÓN 2021'!$H$624+'[5]Acuerdo PLAN INVERSIÓN 2021'!$H$630</f>
        <v>39096480</v>
      </c>
      <c r="CO25" s="80">
        <f>+'[5]Acuerdo PLAN INVERSIÓN 2021'!$H$616+'[5]Acuerdo PLAN INVERSIÓN 2021'!$H$654</f>
        <v>6528666</v>
      </c>
      <c r="CP25" s="80">
        <f>+'[5]Acuerdo PLAN INVERSIÓN 2021'!$H$610+'[5]Acuerdo PLAN INVERSIÓN 2021'!$H$636</f>
        <v>4557162</v>
      </c>
      <c r="CQ25" s="80">
        <f>+'[5]Acuerdo PLAN INVERSIÓN 2021'!$H$613+'[5]Acuerdo PLAN INVERSIÓN 2021'!$H$645</f>
        <v>4557162</v>
      </c>
      <c r="CR25" s="80"/>
      <c r="CS25" s="80"/>
      <c r="CT25" s="80"/>
      <c r="CU25" s="80">
        <f>+'[5]Acuerdo PLAN INVERSIÓN 2021'!$H$663</f>
        <v>914000</v>
      </c>
      <c r="CV25" s="80"/>
      <c r="CW25" s="80"/>
      <c r="CX25" s="80"/>
      <c r="CY25" s="80"/>
      <c r="CZ25" s="80"/>
      <c r="DA25" s="80"/>
      <c r="DB25" s="80"/>
      <c r="DC25" s="80"/>
      <c r="DD25" s="79">
        <f t="shared" si="8"/>
        <v>0.52105447504302926</v>
      </c>
      <c r="DE25" s="44">
        <f t="shared" ref="DE25:DE49" si="26">SUM(DF25:EB25)</f>
        <v>60546530</v>
      </c>
      <c r="DF25" s="44">
        <f t="shared" ref="DF25:DU40" si="27">+J25-CG25</f>
        <v>0</v>
      </c>
      <c r="DG25" s="44">
        <f t="shared" si="27"/>
        <v>0</v>
      </c>
      <c r="DH25" s="44">
        <f t="shared" si="27"/>
        <v>0</v>
      </c>
      <c r="DI25" s="44">
        <f t="shared" si="27"/>
        <v>0</v>
      </c>
      <c r="DJ25" s="44">
        <f t="shared" si="27"/>
        <v>0</v>
      </c>
      <c r="DK25" s="44">
        <f t="shared" si="27"/>
        <v>0</v>
      </c>
      <c r="DL25" s="44">
        <f t="shared" si="27"/>
        <v>0</v>
      </c>
      <c r="DM25" s="44">
        <f t="shared" si="27"/>
        <v>5103520</v>
      </c>
      <c r="DN25" s="44">
        <f t="shared" si="27"/>
        <v>20471334</v>
      </c>
      <c r="DO25" s="44">
        <f t="shared" si="27"/>
        <v>15442838</v>
      </c>
      <c r="DP25" s="44">
        <f t="shared" si="27"/>
        <v>5442838</v>
      </c>
      <c r="DQ25" s="44">
        <f t="shared" si="27"/>
        <v>0</v>
      </c>
      <c r="DR25" s="44">
        <f t="shared" si="27"/>
        <v>0</v>
      </c>
      <c r="DS25" s="44">
        <f t="shared" si="27"/>
        <v>0</v>
      </c>
      <c r="DT25" s="44">
        <f t="shared" si="27"/>
        <v>14086000</v>
      </c>
      <c r="DU25" s="44">
        <f t="shared" si="27"/>
        <v>0</v>
      </c>
      <c r="DV25" s="44">
        <f t="shared" ref="DV25:EB49" si="28">+Z25-CW25</f>
        <v>0</v>
      </c>
      <c r="DW25" s="44">
        <f t="shared" si="28"/>
        <v>0</v>
      </c>
      <c r="DX25" s="44">
        <f t="shared" si="28"/>
        <v>0</v>
      </c>
      <c r="DY25" s="44">
        <f t="shared" si="28"/>
        <v>0</v>
      </c>
      <c r="DZ25" s="44">
        <f t="shared" si="28"/>
        <v>0</v>
      </c>
      <c r="EA25" s="44">
        <f t="shared" si="28"/>
        <v>0</v>
      </c>
      <c r="EB25" s="44">
        <f t="shared" si="28"/>
        <v>0</v>
      </c>
    </row>
    <row r="26" spans="1:132" ht="21" customHeight="1" x14ac:dyDescent="0.25">
      <c r="A26" s="52"/>
      <c r="B26" s="81"/>
      <c r="C26" s="40" t="s">
        <v>103</v>
      </c>
      <c r="D26" s="54" t="s">
        <v>104</v>
      </c>
      <c r="E26" s="42">
        <v>410</v>
      </c>
      <c r="F26" s="43" t="s">
        <v>102</v>
      </c>
      <c r="G26" s="44">
        <f t="shared" si="20"/>
        <v>13000000</v>
      </c>
      <c r="H26" s="45">
        <v>38400000</v>
      </c>
      <c r="I26" s="45">
        <f t="shared" ref="I26:I49" si="29">H26-G26</f>
        <v>25400000</v>
      </c>
      <c r="J26" s="44"/>
      <c r="K26" s="44">
        <v>10000000</v>
      </c>
      <c r="L26" s="44"/>
      <c r="M26" s="44"/>
      <c r="N26" s="44"/>
      <c r="O26" s="44"/>
      <c r="P26" s="44"/>
      <c r="Q26" s="44">
        <f>3000000</f>
        <v>3000000</v>
      </c>
      <c r="R26" s="78"/>
      <c r="S26" s="78"/>
      <c r="T26" s="78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78"/>
      <c r="AG26" s="46">
        <f t="shared" si="1"/>
        <v>1</v>
      </c>
      <c r="AH26" s="44">
        <f t="shared" si="21"/>
        <v>13000000</v>
      </c>
      <c r="AI26" s="44"/>
      <c r="AJ26" s="44">
        <f>+'[2]Acuerdo PLAN INVERSIÓN 2021'!$J$418</f>
        <v>10000000</v>
      </c>
      <c r="AK26" s="44"/>
      <c r="AL26" s="44"/>
      <c r="AM26" s="44"/>
      <c r="AN26" s="44"/>
      <c r="AO26" s="44"/>
      <c r="AP26" s="44">
        <v>3000000</v>
      </c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6">
        <f t="shared" si="12"/>
        <v>0</v>
      </c>
      <c r="BG26" s="44">
        <f t="shared" si="22"/>
        <v>0</v>
      </c>
      <c r="BH26" s="44">
        <f t="shared" si="23"/>
        <v>0</v>
      </c>
      <c r="BI26" s="44">
        <f t="shared" si="23"/>
        <v>0</v>
      </c>
      <c r="BJ26" s="44">
        <f t="shared" si="23"/>
        <v>0</v>
      </c>
      <c r="BK26" s="44">
        <f t="shared" si="23"/>
        <v>0</v>
      </c>
      <c r="BL26" s="44">
        <f t="shared" si="23"/>
        <v>0</v>
      </c>
      <c r="BM26" s="44">
        <f t="shared" si="23"/>
        <v>0</v>
      </c>
      <c r="BN26" s="44">
        <f t="shared" si="23"/>
        <v>0</v>
      </c>
      <c r="BO26" s="44">
        <f t="shared" si="23"/>
        <v>0</v>
      </c>
      <c r="BP26" s="44">
        <f t="shared" si="23"/>
        <v>0</v>
      </c>
      <c r="BQ26" s="44">
        <f t="shared" si="23"/>
        <v>0</v>
      </c>
      <c r="BR26" s="44">
        <f t="shared" si="23"/>
        <v>0</v>
      </c>
      <c r="BS26" s="44">
        <f t="shared" si="23"/>
        <v>0</v>
      </c>
      <c r="BT26" s="44">
        <f t="shared" si="23"/>
        <v>0</v>
      </c>
      <c r="BU26" s="44">
        <f t="shared" si="23"/>
        <v>0</v>
      </c>
      <c r="BV26" s="44">
        <f t="shared" si="23"/>
        <v>0</v>
      </c>
      <c r="BW26" s="44">
        <f t="shared" si="23"/>
        <v>0</v>
      </c>
      <c r="BX26" s="44">
        <f t="shared" si="24"/>
        <v>0</v>
      </c>
      <c r="BY26" s="44">
        <f t="shared" si="24"/>
        <v>0</v>
      </c>
      <c r="BZ26" s="44">
        <f t="shared" si="24"/>
        <v>0</v>
      </c>
      <c r="CA26" s="44">
        <f t="shared" si="24"/>
        <v>0</v>
      </c>
      <c r="CB26" s="44">
        <f t="shared" si="24"/>
        <v>0</v>
      </c>
      <c r="CC26" s="44">
        <f t="shared" si="24"/>
        <v>0</v>
      </c>
      <c r="CD26" s="44">
        <f t="shared" si="24"/>
        <v>0</v>
      </c>
      <c r="CE26" s="46">
        <f t="shared" si="6"/>
        <v>1</v>
      </c>
      <c r="CF26" s="44">
        <f t="shared" si="25"/>
        <v>13000000</v>
      </c>
      <c r="CG26" s="44"/>
      <c r="CH26" s="44">
        <f>+'[1]Acuerdo PLAN INVERSIÓN 2021'!$H$480+'[1]Acuerdo PLAN INVERSIÓN 2021'!$H$487</f>
        <v>10000000</v>
      </c>
      <c r="CI26" s="44"/>
      <c r="CJ26" s="44"/>
      <c r="CK26" s="44"/>
      <c r="CL26" s="44"/>
      <c r="CM26" s="44"/>
      <c r="CN26" s="44">
        <f>+'[1]Acuerdo PLAN INVERSIÓN 2021'!$H$483</f>
        <v>3000000</v>
      </c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6">
        <f t="shared" si="8"/>
        <v>0</v>
      </c>
      <c r="DE26" s="44">
        <f t="shared" si="26"/>
        <v>0</v>
      </c>
      <c r="DF26" s="44">
        <f t="shared" si="27"/>
        <v>0</v>
      </c>
      <c r="DG26" s="44">
        <f t="shared" si="27"/>
        <v>0</v>
      </c>
      <c r="DH26" s="44">
        <f t="shared" si="27"/>
        <v>0</v>
      </c>
      <c r="DI26" s="44">
        <f t="shared" si="27"/>
        <v>0</v>
      </c>
      <c r="DJ26" s="44">
        <f t="shared" si="27"/>
        <v>0</v>
      </c>
      <c r="DK26" s="44">
        <f t="shared" si="27"/>
        <v>0</v>
      </c>
      <c r="DL26" s="44">
        <f t="shared" si="27"/>
        <v>0</v>
      </c>
      <c r="DM26" s="44">
        <f t="shared" si="27"/>
        <v>0</v>
      </c>
      <c r="DN26" s="44">
        <f t="shared" si="27"/>
        <v>0</v>
      </c>
      <c r="DO26" s="44">
        <f t="shared" si="27"/>
        <v>0</v>
      </c>
      <c r="DP26" s="44">
        <f t="shared" si="27"/>
        <v>0</v>
      </c>
      <c r="DQ26" s="44">
        <f t="shared" si="27"/>
        <v>0</v>
      </c>
      <c r="DR26" s="44">
        <f t="shared" si="27"/>
        <v>0</v>
      </c>
      <c r="DS26" s="44">
        <f t="shared" si="27"/>
        <v>0</v>
      </c>
      <c r="DT26" s="44">
        <f t="shared" si="27"/>
        <v>0</v>
      </c>
      <c r="DU26" s="44">
        <f t="shared" si="27"/>
        <v>0</v>
      </c>
      <c r="DV26" s="44">
        <f t="shared" si="28"/>
        <v>0</v>
      </c>
      <c r="DW26" s="44">
        <f t="shared" si="28"/>
        <v>0</v>
      </c>
      <c r="DX26" s="44">
        <f t="shared" si="28"/>
        <v>0</v>
      </c>
      <c r="DY26" s="44">
        <f t="shared" si="28"/>
        <v>0</v>
      </c>
      <c r="DZ26" s="44">
        <f t="shared" si="28"/>
        <v>0</v>
      </c>
      <c r="EA26" s="44">
        <f t="shared" si="28"/>
        <v>0</v>
      </c>
      <c r="EB26" s="44">
        <f t="shared" si="28"/>
        <v>0</v>
      </c>
    </row>
    <row r="27" spans="1:132" ht="39" customHeight="1" x14ac:dyDescent="0.25">
      <c r="A27" s="52"/>
      <c r="B27" s="82" t="s">
        <v>105</v>
      </c>
      <c r="C27" s="59" t="s">
        <v>106</v>
      </c>
      <c r="D27" s="54" t="s">
        <v>107</v>
      </c>
      <c r="E27" s="42">
        <v>410</v>
      </c>
      <c r="F27" s="43" t="s">
        <v>108</v>
      </c>
      <c r="G27" s="44">
        <f t="shared" si="20"/>
        <v>313567799</v>
      </c>
      <c r="H27" s="45">
        <v>215800000</v>
      </c>
      <c r="I27" s="45">
        <f t="shared" si="29"/>
        <v>-97767799</v>
      </c>
      <c r="J27" s="44"/>
      <c r="K27" s="44"/>
      <c r="L27" s="44"/>
      <c r="M27" s="44"/>
      <c r="N27" s="44"/>
      <c r="O27" s="44"/>
      <c r="P27" s="44"/>
      <c r="Q27" s="44">
        <f>120000000+78000000-50000000</f>
        <v>148000000</v>
      </c>
      <c r="R27" s="44">
        <f>8000000+40000000-17566990</f>
        <v>30433010</v>
      </c>
      <c r="S27" s="44">
        <f>15000000+15000000</f>
        <v>30000000</v>
      </c>
      <c r="T27" s="44">
        <v>10000000</v>
      </c>
      <c r="U27" s="44"/>
      <c r="V27" s="44"/>
      <c r="W27" s="44"/>
      <c r="X27" s="44">
        <f>45134741</f>
        <v>45134741</v>
      </c>
      <c r="Y27" s="44"/>
      <c r="Z27" s="44"/>
      <c r="AA27" s="44"/>
      <c r="AB27" s="44"/>
      <c r="AC27" s="44"/>
      <c r="AD27" s="44"/>
      <c r="AE27" s="44"/>
      <c r="AF27" s="44">
        <f>35000000+5000000+8000000+2000048</f>
        <v>50000048</v>
      </c>
      <c r="AG27" s="46">
        <f t="shared" si="1"/>
        <v>0.68395841882986208</v>
      </c>
      <c r="AH27" s="44">
        <f t="shared" si="21"/>
        <v>214467336</v>
      </c>
      <c r="AI27" s="44"/>
      <c r="AJ27" s="44"/>
      <c r="AK27" s="44"/>
      <c r="AL27" s="44"/>
      <c r="AM27" s="44"/>
      <c r="AN27" s="44"/>
      <c r="AO27" s="44"/>
      <c r="AP27" s="44">
        <f>+'[5]Acuerdo PLAN INVERSIÓN 2021'!$S$686</f>
        <v>90513962</v>
      </c>
      <c r="AQ27" s="44">
        <f>+'[5]Acuerdo PLAN INVERSIÓN 2021'!$T$686</f>
        <v>30433010</v>
      </c>
      <c r="AR27" s="44">
        <f>+'[5]Acuerdo PLAN INVERSIÓN 2021'!$U$686</f>
        <v>23983000</v>
      </c>
      <c r="AS27" s="44">
        <f>+'[5]Acuerdo PLAN INVERSIÓN 2021'!$V$686</f>
        <v>7537364</v>
      </c>
      <c r="AT27" s="44"/>
      <c r="AU27" s="44"/>
      <c r="AV27" s="44"/>
      <c r="AW27" s="44">
        <f>+'[5]Acuerdo PLAN INVERSIÓN 2021'!$Q$686</f>
        <v>35000000</v>
      </c>
      <c r="AX27" s="44"/>
      <c r="AY27" s="44"/>
      <c r="AZ27" s="44"/>
      <c r="BA27" s="44"/>
      <c r="BB27" s="44"/>
      <c r="BC27" s="44"/>
      <c r="BD27" s="44"/>
      <c r="BE27" s="44">
        <f>+'[5]Acuerdo PLAN INVERSIÓN 2021'!$AF$686</f>
        <v>27000000</v>
      </c>
      <c r="BF27" s="46">
        <f t="shared" si="12"/>
        <v>0.31604158117013792</v>
      </c>
      <c r="BG27" s="44">
        <f t="shared" si="22"/>
        <v>99100463</v>
      </c>
      <c r="BH27" s="44">
        <f t="shared" si="23"/>
        <v>0</v>
      </c>
      <c r="BI27" s="44">
        <f t="shared" si="23"/>
        <v>0</v>
      </c>
      <c r="BJ27" s="44">
        <f t="shared" si="23"/>
        <v>0</v>
      </c>
      <c r="BK27" s="44">
        <f t="shared" si="23"/>
        <v>0</v>
      </c>
      <c r="BL27" s="44">
        <f t="shared" si="23"/>
        <v>0</v>
      </c>
      <c r="BM27" s="44">
        <f t="shared" si="23"/>
        <v>0</v>
      </c>
      <c r="BN27" s="44">
        <f t="shared" si="23"/>
        <v>0</v>
      </c>
      <c r="BO27" s="44">
        <f t="shared" si="23"/>
        <v>57486038</v>
      </c>
      <c r="BP27" s="44">
        <f t="shared" si="23"/>
        <v>0</v>
      </c>
      <c r="BQ27" s="44">
        <f t="shared" si="23"/>
        <v>6017000</v>
      </c>
      <c r="BR27" s="44">
        <f t="shared" si="23"/>
        <v>2462636</v>
      </c>
      <c r="BS27" s="44">
        <f t="shared" si="23"/>
        <v>0</v>
      </c>
      <c r="BT27" s="44">
        <f t="shared" si="23"/>
        <v>0</v>
      </c>
      <c r="BU27" s="44">
        <f t="shared" si="23"/>
        <v>0</v>
      </c>
      <c r="BV27" s="44">
        <f t="shared" si="23"/>
        <v>10134741</v>
      </c>
      <c r="BW27" s="44">
        <f t="shared" si="23"/>
        <v>0</v>
      </c>
      <c r="BX27" s="44">
        <f t="shared" si="24"/>
        <v>0</v>
      </c>
      <c r="BY27" s="44">
        <f t="shared" si="24"/>
        <v>0</v>
      </c>
      <c r="BZ27" s="44">
        <f t="shared" si="24"/>
        <v>0</v>
      </c>
      <c r="CA27" s="44">
        <f t="shared" si="24"/>
        <v>0</v>
      </c>
      <c r="CB27" s="44">
        <f t="shared" si="24"/>
        <v>0</v>
      </c>
      <c r="CC27" s="44">
        <f t="shared" si="24"/>
        <v>0</v>
      </c>
      <c r="CD27" s="44">
        <f t="shared" si="24"/>
        <v>23000048</v>
      </c>
      <c r="CE27" s="46">
        <f t="shared" si="6"/>
        <v>0.31948564335842405</v>
      </c>
      <c r="CF27" s="44">
        <f t="shared" si="25"/>
        <v>100180410</v>
      </c>
      <c r="CG27" s="44"/>
      <c r="CH27" s="44"/>
      <c r="CI27" s="44"/>
      <c r="CJ27" s="44"/>
      <c r="CK27" s="44"/>
      <c r="CL27" s="44"/>
      <c r="CM27" s="44"/>
      <c r="CN27" s="44">
        <f>+'[5]Acuerdo PLAN INVERSIÓN 2021'!$H$684-CO27-CP27-CQ27-CU27-DC27</f>
        <v>56045470</v>
      </c>
      <c r="CO27" s="44">
        <f>+'[5]Acuerdo PLAN INVERSIÓN 2021'!$H$738+'[5]Acuerdo PLAN INVERSIÓN 2021'!$H$741+'[5]Acuerdo PLAN INVERSIÓN 2021'!$H$744+'[5]Acuerdo PLAN INVERSIÓN 2021'!$H$896+'[5]Acuerdo PLAN INVERSIÓN 2021'!$H$968</f>
        <v>7407365</v>
      </c>
      <c r="CP27" s="44">
        <f>+'[5]Acuerdo PLAN INVERSIÓN 2021'!$H$687+'[5]Acuerdo PLAN INVERSIÓN 2021'!$H$690+'[5]Acuerdo PLAN INVERSIÓN 2021'!$H$693+'[5]Acuerdo PLAN INVERSIÓN 2021'!$H$899+'[5]Acuerdo PLAN INVERSIÓN 2021'!$H$956</f>
        <v>9500000</v>
      </c>
      <c r="CQ27" s="44">
        <f>+'[5]Acuerdo PLAN INVERSIÓN 2021'!$H$705+'[5]Acuerdo PLAN INVERSIÓN 2021'!$H$902+'[5]Acuerdo PLAN INVERSIÓN 2021'!$H$1017</f>
        <v>3537364</v>
      </c>
      <c r="CR27" s="44"/>
      <c r="CS27" s="44"/>
      <c r="CT27" s="44"/>
      <c r="CU27" s="44">
        <f>+'[5]Acuerdo PLAN INVERSIÓN 2021'!$H$962</f>
        <v>6599999</v>
      </c>
      <c r="CV27" s="44"/>
      <c r="CW27" s="44"/>
      <c r="CX27" s="44"/>
      <c r="CY27" s="44"/>
      <c r="CZ27" s="44"/>
      <c r="DA27" s="44"/>
      <c r="DB27" s="44"/>
      <c r="DC27" s="44">
        <f>+'[5]Acuerdo PLAN INVERSIÓN 2021'!$H$801+'[5]Acuerdo PLAN INVERSIÓN 2021'!$H$804+'[5]Acuerdo PLAN INVERSIÓN 2021'!$H$807+'[5]Acuerdo PLAN INVERSIÓN 2021'!$H$810+'[5]Acuerdo PLAN INVERSIÓN 2021'!$H$920+'[5]Acuerdo PLAN INVERSIÓN 2021'!$H$977+'[5]Acuerdo PLAN INVERSIÓN 2021'!$H$1034+'[5]Acuerdo PLAN INVERSIÓN 2021'!$H$1037+'[5]Acuerdo PLAN INVERSIÓN 2021'!$H$1040</f>
        <v>17090212</v>
      </c>
      <c r="DD27" s="46">
        <f t="shared" si="8"/>
        <v>0.68051435664157589</v>
      </c>
      <c r="DE27" s="44">
        <f t="shared" si="26"/>
        <v>213387389</v>
      </c>
      <c r="DF27" s="44">
        <f t="shared" si="27"/>
        <v>0</v>
      </c>
      <c r="DG27" s="44">
        <f t="shared" si="27"/>
        <v>0</v>
      </c>
      <c r="DH27" s="44">
        <f t="shared" si="27"/>
        <v>0</v>
      </c>
      <c r="DI27" s="44">
        <f t="shared" si="27"/>
        <v>0</v>
      </c>
      <c r="DJ27" s="44">
        <f t="shared" si="27"/>
        <v>0</v>
      </c>
      <c r="DK27" s="44">
        <f t="shared" si="27"/>
        <v>0</v>
      </c>
      <c r="DL27" s="44">
        <f t="shared" si="27"/>
        <v>0</v>
      </c>
      <c r="DM27" s="44">
        <f t="shared" si="27"/>
        <v>91954530</v>
      </c>
      <c r="DN27" s="44">
        <f t="shared" si="27"/>
        <v>23025645</v>
      </c>
      <c r="DO27" s="44">
        <f t="shared" si="27"/>
        <v>20500000</v>
      </c>
      <c r="DP27" s="44">
        <f t="shared" si="27"/>
        <v>6462636</v>
      </c>
      <c r="DQ27" s="44">
        <f t="shared" si="27"/>
        <v>0</v>
      </c>
      <c r="DR27" s="44">
        <f t="shared" si="27"/>
        <v>0</v>
      </c>
      <c r="DS27" s="44">
        <f t="shared" si="27"/>
        <v>0</v>
      </c>
      <c r="DT27" s="44">
        <f t="shared" si="27"/>
        <v>38534742</v>
      </c>
      <c r="DU27" s="44">
        <f t="shared" si="27"/>
        <v>0</v>
      </c>
      <c r="DV27" s="44">
        <f t="shared" si="28"/>
        <v>0</v>
      </c>
      <c r="DW27" s="44">
        <f t="shared" si="28"/>
        <v>0</v>
      </c>
      <c r="DX27" s="44">
        <f t="shared" si="28"/>
        <v>0</v>
      </c>
      <c r="DY27" s="44">
        <f t="shared" si="28"/>
        <v>0</v>
      </c>
      <c r="DZ27" s="44">
        <f t="shared" si="28"/>
        <v>0</v>
      </c>
      <c r="EA27" s="44">
        <f t="shared" si="28"/>
        <v>0</v>
      </c>
      <c r="EB27" s="44">
        <f t="shared" si="28"/>
        <v>32909836</v>
      </c>
    </row>
    <row r="28" spans="1:132" ht="18" customHeight="1" x14ac:dyDescent="0.25">
      <c r="A28" s="52"/>
      <c r="B28" s="82"/>
      <c r="C28" s="40" t="s">
        <v>109</v>
      </c>
      <c r="D28" s="54" t="s">
        <v>110</v>
      </c>
      <c r="E28" s="42">
        <v>410</v>
      </c>
      <c r="F28" s="43" t="s">
        <v>111</v>
      </c>
      <c r="G28" s="44">
        <f t="shared" si="20"/>
        <v>65000000</v>
      </c>
      <c r="H28" s="45">
        <v>49800000</v>
      </c>
      <c r="I28" s="45">
        <f t="shared" si="29"/>
        <v>-15200000</v>
      </c>
      <c r="J28" s="44"/>
      <c r="K28" s="44">
        <v>20000000</v>
      </c>
      <c r="L28" s="44"/>
      <c r="M28" s="44"/>
      <c r="N28" s="44"/>
      <c r="O28" s="44"/>
      <c r="P28" s="44"/>
      <c r="Q28" s="44">
        <f>20000000+25000000</f>
        <v>45000000</v>
      </c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6">
        <f t="shared" si="1"/>
        <v>8.3310369230769232E-2</v>
      </c>
      <c r="AH28" s="44">
        <f t="shared" si="21"/>
        <v>5415174</v>
      </c>
      <c r="AI28" s="44"/>
      <c r="AJ28" s="44"/>
      <c r="AK28" s="44"/>
      <c r="AL28" s="44"/>
      <c r="AM28" s="44"/>
      <c r="AN28" s="44"/>
      <c r="AO28" s="44"/>
      <c r="AP28" s="44">
        <f>+'[5]Acuerdo PLAN INVERSIÓN 2021'!$S$1073</f>
        <v>5415174</v>
      </c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6">
        <f t="shared" si="12"/>
        <v>0.91668963076923071</v>
      </c>
      <c r="BG28" s="44">
        <f t="shared" si="22"/>
        <v>59584826</v>
      </c>
      <c r="BH28" s="44">
        <f t="shared" si="23"/>
        <v>0</v>
      </c>
      <c r="BI28" s="44">
        <f t="shared" si="23"/>
        <v>20000000</v>
      </c>
      <c r="BJ28" s="44">
        <f t="shared" si="23"/>
        <v>0</v>
      </c>
      <c r="BK28" s="44">
        <f t="shared" si="23"/>
        <v>0</v>
      </c>
      <c r="BL28" s="44">
        <f t="shared" si="23"/>
        <v>0</v>
      </c>
      <c r="BM28" s="44">
        <f t="shared" si="23"/>
        <v>0</v>
      </c>
      <c r="BN28" s="44">
        <f t="shared" si="23"/>
        <v>0</v>
      </c>
      <c r="BO28" s="44">
        <f t="shared" si="23"/>
        <v>39584826</v>
      </c>
      <c r="BP28" s="44">
        <f t="shared" si="23"/>
        <v>0</v>
      </c>
      <c r="BQ28" s="44">
        <f t="shared" si="23"/>
        <v>0</v>
      </c>
      <c r="BR28" s="44">
        <f t="shared" si="23"/>
        <v>0</v>
      </c>
      <c r="BS28" s="44">
        <f t="shared" si="23"/>
        <v>0</v>
      </c>
      <c r="BT28" s="44">
        <f t="shared" si="23"/>
        <v>0</v>
      </c>
      <c r="BU28" s="44">
        <f t="shared" si="23"/>
        <v>0</v>
      </c>
      <c r="BV28" s="44">
        <f t="shared" si="23"/>
        <v>0</v>
      </c>
      <c r="BW28" s="44">
        <f t="shared" si="23"/>
        <v>0</v>
      </c>
      <c r="BX28" s="44">
        <f t="shared" si="24"/>
        <v>0</v>
      </c>
      <c r="BY28" s="44">
        <f t="shared" si="24"/>
        <v>0</v>
      </c>
      <c r="BZ28" s="44">
        <f t="shared" si="24"/>
        <v>0</v>
      </c>
      <c r="CA28" s="44">
        <f t="shared" si="24"/>
        <v>0</v>
      </c>
      <c r="CB28" s="44">
        <f t="shared" si="24"/>
        <v>0</v>
      </c>
      <c r="CC28" s="44">
        <f t="shared" si="24"/>
        <v>0</v>
      </c>
      <c r="CD28" s="44">
        <f t="shared" si="24"/>
        <v>0</v>
      </c>
      <c r="CE28" s="46">
        <f t="shared" si="6"/>
        <v>8.3155353846153843E-2</v>
      </c>
      <c r="CF28" s="44">
        <f t="shared" si="25"/>
        <v>5405098</v>
      </c>
      <c r="CG28" s="44"/>
      <c r="CH28" s="44"/>
      <c r="CI28" s="44"/>
      <c r="CJ28" s="44"/>
      <c r="CK28" s="44"/>
      <c r="CL28" s="44"/>
      <c r="CM28" s="44"/>
      <c r="CN28" s="44">
        <f>+'[5]Acuerdo PLAN INVERSIÓN 2021'!$H$1071</f>
        <v>5405098</v>
      </c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6">
        <f t="shared" si="8"/>
        <v>0.9168446461538462</v>
      </c>
      <c r="DE28" s="44">
        <f t="shared" si="26"/>
        <v>59594902</v>
      </c>
      <c r="DF28" s="44">
        <f t="shared" si="27"/>
        <v>0</v>
      </c>
      <c r="DG28" s="44">
        <f t="shared" si="27"/>
        <v>20000000</v>
      </c>
      <c r="DH28" s="44">
        <f t="shared" si="27"/>
        <v>0</v>
      </c>
      <c r="DI28" s="44">
        <f t="shared" si="27"/>
        <v>0</v>
      </c>
      <c r="DJ28" s="44">
        <f t="shared" si="27"/>
        <v>0</v>
      </c>
      <c r="DK28" s="44">
        <f t="shared" si="27"/>
        <v>0</v>
      </c>
      <c r="DL28" s="44">
        <f t="shared" si="27"/>
        <v>0</v>
      </c>
      <c r="DM28" s="44">
        <f t="shared" si="27"/>
        <v>39594902</v>
      </c>
      <c r="DN28" s="44">
        <f t="shared" si="27"/>
        <v>0</v>
      </c>
      <c r="DO28" s="44">
        <f t="shared" si="27"/>
        <v>0</v>
      </c>
      <c r="DP28" s="44">
        <f t="shared" si="27"/>
        <v>0</v>
      </c>
      <c r="DQ28" s="44">
        <f t="shared" si="27"/>
        <v>0</v>
      </c>
      <c r="DR28" s="44">
        <f t="shared" si="27"/>
        <v>0</v>
      </c>
      <c r="DS28" s="44">
        <f t="shared" si="27"/>
        <v>0</v>
      </c>
      <c r="DT28" s="44">
        <f t="shared" si="27"/>
        <v>0</v>
      </c>
      <c r="DU28" s="44">
        <f t="shared" si="27"/>
        <v>0</v>
      </c>
      <c r="DV28" s="44">
        <f t="shared" si="28"/>
        <v>0</v>
      </c>
      <c r="DW28" s="44">
        <f t="shared" si="28"/>
        <v>0</v>
      </c>
      <c r="DX28" s="44">
        <f t="shared" si="28"/>
        <v>0</v>
      </c>
      <c r="DY28" s="44">
        <f t="shared" si="28"/>
        <v>0</v>
      </c>
      <c r="DZ28" s="44">
        <f t="shared" si="28"/>
        <v>0</v>
      </c>
      <c r="EA28" s="44">
        <f t="shared" si="28"/>
        <v>0</v>
      </c>
      <c r="EB28" s="44">
        <f t="shared" si="28"/>
        <v>0</v>
      </c>
    </row>
    <row r="29" spans="1:132" ht="19.149999999999999" customHeight="1" x14ac:dyDescent="0.25">
      <c r="A29" s="52"/>
      <c r="B29" s="82"/>
      <c r="C29" s="40" t="s">
        <v>112</v>
      </c>
      <c r="D29" s="54" t="s">
        <v>113</v>
      </c>
      <c r="E29" s="42">
        <v>410</v>
      </c>
      <c r="F29" s="43" t="s">
        <v>111</v>
      </c>
      <c r="G29" s="44">
        <f t="shared" si="20"/>
        <v>1082732208</v>
      </c>
      <c r="H29" s="45">
        <v>1120500000</v>
      </c>
      <c r="I29" s="45">
        <f t="shared" si="29"/>
        <v>37767792</v>
      </c>
      <c r="J29" s="44"/>
      <c r="K29" s="44"/>
      <c r="L29" s="44"/>
      <c r="M29" s="44"/>
      <c r="N29" s="44"/>
      <c r="O29" s="44"/>
      <c r="P29" s="44"/>
      <c r="Q29" s="44">
        <f>500000000+119280494+165739636+2</f>
        <v>785020132</v>
      </c>
      <c r="R29" s="44">
        <f>17566990</f>
        <v>17566990</v>
      </c>
      <c r="S29" s="44"/>
      <c r="T29" s="44">
        <v>10000000</v>
      </c>
      <c r="U29" s="44"/>
      <c r="V29" s="44"/>
      <c r="W29" s="44"/>
      <c r="X29" s="44"/>
      <c r="Y29" s="44"/>
      <c r="Z29" s="44"/>
      <c r="AA29" s="44"/>
      <c r="AB29" s="44">
        <v>270145086</v>
      </c>
      <c r="AC29" s="44"/>
      <c r="AD29" s="44"/>
      <c r="AE29" s="44"/>
      <c r="AF29" s="44"/>
      <c r="AG29" s="46">
        <f t="shared" si="1"/>
        <v>0.69306599217744891</v>
      </c>
      <c r="AH29" s="44">
        <f t="shared" si="21"/>
        <v>750404872</v>
      </c>
      <c r="AI29" s="44"/>
      <c r="AJ29" s="44"/>
      <c r="AK29" s="44"/>
      <c r="AL29" s="44"/>
      <c r="AM29" s="44"/>
      <c r="AN29" s="44"/>
      <c r="AO29" s="44"/>
      <c r="AP29" s="44">
        <f>+'[5]Acuerdo PLAN INVERSIÓN 2021'!$S$1097</f>
        <v>462139326</v>
      </c>
      <c r="AQ29" s="44">
        <f>+'[2]Acuerdo PLAN INVERSIÓN 2021'!$T$604</f>
        <v>13800460</v>
      </c>
      <c r="AR29" s="44"/>
      <c r="AS29" s="44">
        <f>+'[2]Acuerdo PLAN INVERSIÓN 2021'!$V$604</f>
        <v>4320000</v>
      </c>
      <c r="AT29" s="44"/>
      <c r="AU29" s="44"/>
      <c r="AV29" s="44"/>
      <c r="AW29" s="44"/>
      <c r="AX29" s="44"/>
      <c r="AY29" s="44"/>
      <c r="AZ29" s="44"/>
      <c r="BA29" s="44">
        <f>+'[5]Acuerdo PLAN INVERSIÓN 2021'!$Y$1097</f>
        <v>270145086</v>
      </c>
      <c r="BB29" s="44"/>
      <c r="BC29" s="44"/>
      <c r="BD29" s="44"/>
      <c r="BE29" s="44"/>
      <c r="BF29" s="46">
        <f t="shared" si="12"/>
        <v>0.30693400782255109</v>
      </c>
      <c r="BG29" s="44">
        <f t="shared" si="22"/>
        <v>332327336</v>
      </c>
      <c r="BH29" s="44">
        <f t="shared" si="23"/>
        <v>0</v>
      </c>
      <c r="BI29" s="44">
        <f t="shared" si="23"/>
        <v>0</v>
      </c>
      <c r="BJ29" s="44">
        <f t="shared" si="23"/>
        <v>0</v>
      </c>
      <c r="BK29" s="44">
        <f t="shared" si="23"/>
        <v>0</v>
      </c>
      <c r="BL29" s="44">
        <f t="shared" si="23"/>
        <v>0</v>
      </c>
      <c r="BM29" s="44">
        <f t="shared" si="23"/>
        <v>0</v>
      </c>
      <c r="BN29" s="44">
        <f t="shared" si="23"/>
        <v>0</v>
      </c>
      <c r="BO29" s="44">
        <f t="shared" si="23"/>
        <v>322880806</v>
      </c>
      <c r="BP29" s="44">
        <f t="shared" si="23"/>
        <v>3766530</v>
      </c>
      <c r="BQ29" s="44">
        <f t="shared" si="23"/>
        <v>0</v>
      </c>
      <c r="BR29" s="44">
        <f t="shared" si="23"/>
        <v>5680000</v>
      </c>
      <c r="BS29" s="44">
        <f t="shared" si="23"/>
        <v>0</v>
      </c>
      <c r="BT29" s="44">
        <f t="shared" si="23"/>
        <v>0</v>
      </c>
      <c r="BU29" s="44">
        <f t="shared" si="23"/>
        <v>0</v>
      </c>
      <c r="BV29" s="44">
        <f t="shared" si="23"/>
        <v>0</v>
      </c>
      <c r="BW29" s="44">
        <f t="shared" si="23"/>
        <v>0</v>
      </c>
      <c r="BX29" s="44">
        <f t="shared" si="24"/>
        <v>0</v>
      </c>
      <c r="BY29" s="44">
        <f t="shared" si="24"/>
        <v>0</v>
      </c>
      <c r="BZ29" s="44">
        <f t="shared" si="24"/>
        <v>0</v>
      </c>
      <c r="CA29" s="44">
        <f t="shared" si="24"/>
        <v>0</v>
      </c>
      <c r="CB29" s="44">
        <f t="shared" si="24"/>
        <v>0</v>
      </c>
      <c r="CC29" s="44">
        <f t="shared" si="24"/>
        <v>0</v>
      </c>
      <c r="CD29" s="44">
        <f t="shared" si="24"/>
        <v>0</v>
      </c>
      <c r="CE29" s="46">
        <f t="shared" si="6"/>
        <v>0.32871669593853997</v>
      </c>
      <c r="CF29" s="44">
        <f t="shared" si="25"/>
        <v>355912154</v>
      </c>
      <c r="CG29" s="44"/>
      <c r="CH29" s="44"/>
      <c r="CI29" s="44"/>
      <c r="CJ29" s="44"/>
      <c r="CK29" s="44"/>
      <c r="CL29" s="44"/>
      <c r="CM29" s="44"/>
      <c r="CN29" s="44">
        <f>+'[5]Acuerdo PLAN INVERSIÓN 2021'!$H$1095-CO29-CQ29-CY29</f>
        <v>334193254</v>
      </c>
      <c r="CO29" s="44">
        <f>+'[5]Acuerdo PLAN INVERSIÓN 2021'!$H$1298+'[5]Acuerdo PLAN INVERSIÓN 2021'!$H$1341+'[5]Acuerdo PLAN INVERSIÓN 2021'!$H$1344+'[5]Acuerdo PLAN INVERSIÓN 2021'!$H$1347</f>
        <v>6138900</v>
      </c>
      <c r="CP29" s="44"/>
      <c r="CQ29" s="44">
        <f>+'[5]Acuerdo PLAN INVERSIÓN 2021'!$H$1146+'[5]Acuerdo PLAN INVERSIÓN 2021'!$H$1170+'[5]Acuerdo PLAN INVERSIÓN 2021'!$H$1229+'[5]Acuerdo PLAN INVERSIÓN 2021'!$H$1333</f>
        <v>4080000</v>
      </c>
      <c r="CR29" s="44"/>
      <c r="CS29" s="44"/>
      <c r="CT29" s="44"/>
      <c r="CU29" s="44"/>
      <c r="CV29" s="44"/>
      <c r="CW29" s="44"/>
      <c r="CX29" s="44"/>
      <c r="CY29" s="44">
        <f>+'[5]Acuerdo PLAN INVERSIÓN 2021'!$H$1438</f>
        <v>11500000</v>
      </c>
      <c r="CZ29" s="44"/>
      <c r="DA29" s="44"/>
      <c r="DB29" s="44"/>
      <c r="DC29" s="44"/>
      <c r="DD29" s="46">
        <f t="shared" si="8"/>
        <v>0.67128330406146008</v>
      </c>
      <c r="DE29" s="44">
        <f t="shared" si="26"/>
        <v>726820054</v>
      </c>
      <c r="DF29" s="44">
        <f t="shared" si="27"/>
        <v>0</v>
      </c>
      <c r="DG29" s="44">
        <f t="shared" si="27"/>
        <v>0</v>
      </c>
      <c r="DH29" s="44">
        <f t="shared" si="27"/>
        <v>0</v>
      </c>
      <c r="DI29" s="44">
        <f t="shared" si="27"/>
        <v>0</v>
      </c>
      <c r="DJ29" s="44">
        <f t="shared" si="27"/>
        <v>0</v>
      </c>
      <c r="DK29" s="44">
        <f t="shared" si="27"/>
        <v>0</v>
      </c>
      <c r="DL29" s="44">
        <f t="shared" si="27"/>
        <v>0</v>
      </c>
      <c r="DM29" s="44">
        <f t="shared" si="27"/>
        <v>450826878</v>
      </c>
      <c r="DN29" s="44">
        <f t="shared" si="27"/>
        <v>11428090</v>
      </c>
      <c r="DO29" s="44">
        <f t="shared" si="27"/>
        <v>0</v>
      </c>
      <c r="DP29" s="44">
        <f t="shared" si="27"/>
        <v>5920000</v>
      </c>
      <c r="DQ29" s="44">
        <f t="shared" si="27"/>
        <v>0</v>
      </c>
      <c r="DR29" s="44">
        <f t="shared" si="27"/>
        <v>0</v>
      </c>
      <c r="DS29" s="44">
        <f t="shared" si="27"/>
        <v>0</v>
      </c>
      <c r="DT29" s="44">
        <f t="shared" si="27"/>
        <v>0</v>
      </c>
      <c r="DU29" s="44">
        <f t="shared" si="27"/>
        <v>0</v>
      </c>
      <c r="DV29" s="44">
        <f t="shared" si="28"/>
        <v>0</v>
      </c>
      <c r="DW29" s="44">
        <f t="shared" si="28"/>
        <v>0</v>
      </c>
      <c r="DX29" s="44">
        <f t="shared" si="28"/>
        <v>258645086</v>
      </c>
      <c r="DY29" s="44">
        <f t="shared" si="28"/>
        <v>0</v>
      </c>
      <c r="DZ29" s="44">
        <f t="shared" si="28"/>
        <v>0</v>
      </c>
      <c r="EA29" s="44">
        <f t="shared" si="28"/>
        <v>0</v>
      </c>
      <c r="EB29" s="44">
        <f t="shared" si="28"/>
        <v>0</v>
      </c>
    </row>
    <row r="30" spans="1:132" ht="21" customHeight="1" x14ac:dyDescent="0.25">
      <c r="A30" s="52"/>
      <c r="B30" s="82"/>
      <c r="C30" s="40" t="s">
        <v>114</v>
      </c>
      <c r="D30" s="54" t="s">
        <v>115</v>
      </c>
      <c r="E30" s="42">
        <v>410</v>
      </c>
      <c r="F30" s="43" t="s">
        <v>102</v>
      </c>
      <c r="G30" s="44">
        <f t="shared" si="20"/>
        <v>461000000</v>
      </c>
      <c r="H30" s="45">
        <v>0</v>
      </c>
      <c r="I30" s="45">
        <f t="shared" si="29"/>
        <v>-461000000</v>
      </c>
      <c r="J30" s="44"/>
      <c r="K30" s="44"/>
      <c r="L30" s="44"/>
      <c r="M30" s="44"/>
      <c r="N30" s="44"/>
      <c r="O30" s="44"/>
      <c r="P30" s="44"/>
      <c r="Q30" s="44">
        <f>300000000+161000000</f>
        <v>461000000</v>
      </c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6">
        <f t="shared" si="1"/>
        <v>0.56709078524945766</v>
      </c>
      <c r="AH30" s="44">
        <f t="shared" si="21"/>
        <v>261428852</v>
      </c>
      <c r="AI30" s="44"/>
      <c r="AJ30" s="44"/>
      <c r="AK30" s="44"/>
      <c r="AL30" s="44"/>
      <c r="AM30" s="44"/>
      <c r="AN30" s="44"/>
      <c r="AO30" s="44"/>
      <c r="AP30" s="44">
        <f>+'[5]Acuerdo PLAN INVERSIÓN 2021'!$S$1466</f>
        <v>261428852</v>
      </c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6">
        <f t="shared" si="12"/>
        <v>0.43290921475054234</v>
      </c>
      <c r="BG30" s="44">
        <f t="shared" si="22"/>
        <v>199571148</v>
      </c>
      <c r="BH30" s="44">
        <f t="shared" si="23"/>
        <v>0</v>
      </c>
      <c r="BI30" s="44">
        <f t="shared" si="23"/>
        <v>0</v>
      </c>
      <c r="BJ30" s="44">
        <f t="shared" si="23"/>
        <v>0</v>
      </c>
      <c r="BK30" s="44">
        <f t="shared" si="23"/>
        <v>0</v>
      </c>
      <c r="BL30" s="44">
        <f t="shared" si="23"/>
        <v>0</v>
      </c>
      <c r="BM30" s="44">
        <f t="shared" si="23"/>
        <v>0</v>
      </c>
      <c r="BN30" s="44">
        <f t="shared" si="23"/>
        <v>0</v>
      </c>
      <c r="BO30" s="44">
        <f t="shared" si="23"/>
        <v>199571148</v>
      </c>
      <c r="BP30" s="44">
        <f t="shared" si="23"/>
        <v>0</v>
      </c>
      <c r="BQ30" s="44">
        <f t="shared" si="23"/>
        <v>0</v>
      </c>
      <c r="BR30" s="44">
        <f t="shared" si="23"/>
        <v>0</v>
      </c>
      <c r="BS30" s="44">
        <f t="shared" si="23"/>
        <v>0</v>
      </c>
      <c r="BT30" s="44">
        <f t="shared" si="23"/>
        <v>0</v>
      </c>
      <c r="BU30" s="44">
        <f t="shared" si="23"/>
        <v>0</v>
      </c>
      <c r="BV30" s="44">
        <f t="shared" si="23"/>
        <v>0</v>
      </c>
      <c r="BW30" s="44">
        <f t="shared" si="23"/>
        <v>0</v>
      </c>
      <c r="BX30" s="44">
        <f t="shared" si="24"/>
        <v>0</v>
      </c>
      <c r="BY30" s="44">
        <f t="shared" si="24"/>
        <v>0</v>
      </c>
      <c r="BZ30" s="44">
        <f t="shared" si="24"/>
        <v>0</v>
      </c>
      <c r="CA30" s="44">
        <f t="shared" si="24"/>
        <v>0</v>
      </c>
      <c r="CB30" s="44">
        <f t="shared" si="24"/>
        <v>0</v>
      </c>
      <c r="CC30" s="44">
        <f t="shared" si="24"/>
        <v>0</v>
      </c>
      <c r="CD30" s="44">
        <f t="shared" si="24"/>
        <v>0</v>
      </c>
      <c r="CE30" s="46">
        <f t="shared" si="6"/>
        <v>0.53204311496746204</v>
      </c>
      <c r="CF30" s="44">
        <f t="shared" si="25"/>
        <v>245271876</v>
      </c>
      <c r="CG30" s="44"/>
      <c r="CH30" s="44"/>
      <c r="CI30" s="44"/>
      <c r="CJ30" s="44"/>
      <c r="CK30" s="44"/>
      <c r="CL30" s="44"/>
      <c r="CM30" s="44"/>
      <c r="CN30" s="44">
        <f>+'[5]Acuerdo PLAN INVERSIÓN 2021'!$H$1464</f>
        <v>245271876</v>
      </c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6">
        <f t="shared" si="8"/>
        <v>0.46795688503253796</v>
      </c>
      <c r="DE30" s="44">
        <f t="shared" si="26"/>
        <v>215728124</v>
      </c>
      <c r="DF30" s="44">
        <f t="shared" si="27"/>
        <v>0</v>
      </c>
      <c r="DG30" s="44">
        <f t="shared" si="27"/>
        <v>0</v>
      </c>
      <c r="DH30" s="44">
        <f t="shared" si="27"/>
        <v>0</v>
      </c>
      <c r="DI30" s="44">
        <f t="shared" si="27"/>
        <v>0</v>
      </c>
      <c r="DJ30" s="44">
        <f t="shared" si="27"/>
        <v>0</v>
      </c>
      <c r="DK30" s="44">
        <f t="shared" si="27"/>
        <v>0</v>
      </c>
      <c r="DL30" s="44">
        <f t="shared" si="27"/>
        <v>0</v>
      </c>
      <c r="DM30" s="44">
        <f t="shared" si="27"/>
        <v>215728124</v>
      </c>
      <c r="DN30" s="44">
        <f t="shared" si="27"/>
        <v>0</v>
      </c>
      <c r="DO30" s="44">
        <f t="shared" si="27"/>
        <v>0</v>
      </c>
      <c r="DP30" s="44">
        <f t="shared" si="27"/>
        <v>0</v>
      </c>
      <c r="DQ30" s="44">
        <f t="shared" si="27"/>
        <v>0</v>
      </c>
      <c r="DR30" s="44">
        <f t="shared" si="27"/>
        <v>0</v>
      </c>
      <c r="DS30" s="44">
        <f t="shared" si="27"/>
        <v>0</v>
      </c>
      <c r="DT30" s="44">
        <f t="shared" si="27"/>
        <v>0</v>
      </c>
      <c r="DU30" s="44">
        <f t="shared" si="27"/>
        <v>0</v>
      </c>
      <c r="DV30" s="44">
        <f t="shared" si="28"/>
        <v>0</v>
      </c>
      <c r="DW30" s="44">
        <f t="shared" si="28"/>
        <v>0</v>
      </c>
      <c r="DX30" s="44">
        <f t="shared" si="28"/>
        <v>0</v>
      </c>
      <c r="DY30" s="44">
        <f t="shared" si="28"/>
        <v>0</v>
      </c>
      <c r="DZ30" s="44">
        <f t="shared" si="28"/>
        <v>0</v>
      </c>
      <c r="EA30" s="44">
        <f t="shared" si="28"/>
        <v>0</v>
      </c>
      <c r="EB30" s="44">
        <f t="shared" si="28"/>
        <v>0</v>
      </c>
    </row>
    <row r="31" spans="1:132" ht="21" customHeight="1" x14ac:dyDescent="0.25">
      <c r="A31" s="52"/>
      <c r="B31" s="82"/>
      <c r="C31" s="40" t="s">
        <v>116</v>
      </c>
      <c r="D31" s="54" t="s">
        <v>117</v>
      </c>
      <c r="E31" s="42">
        <v>410</v>
      </c>
      <c r="F31" s="43" t="s">
        <v>102</v>
      </c>
      <c r="G31" s="44">
        <f t="shared" si="20"/>
        <v>300000000</v>
      </c>
      <c r="H31" s="45"/>
      <c r="I31" s="45">
        <f t="shared" si="29"/>
        <v>-300000000</v>
      </c>
      <c r="J31" s="44"/>
      <c r="K31" s="44"/>
      <c r="L31" s="44"/>
      <c r="M31" s="44"/>
      <c r="N31" s="44"/>
      <c r="O31" s="44"/>
      <c r="P31" s="44"/>
      <c r="Q31" s="44">
        <v>300000000</v>
      </c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6">
        <f t="shared" si="1"/>
        <v>0.68102921666666671</v>
      </c>
      <c r="AH31" s="44">
        <f t="shared" si="21"/>
        <v>204308765</v>
      </c>
      <c r="AI31" s="44"/>
      <c r="AJ31" s="44"/>
      <c r="AK31" s="44"/>
      <c r="AL31" s="44"/>
      <c r="AM31" s="44"/>
      <c r="AN31" s="44"/>
      <c r="AO31" s="44"/>
      <c r="AP31" s="44">
        <f>+'[5]Acuerdo PLAN INVERSIÓN 2021'!$S$1625</f>
        <v>204308765</v>
      </c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6">
        <f t="shared" si="12"/>
        <v>0.31897078333333329</v>
      </c>
      <c r="BG31" s="44">
        <f t="shared" si="22"/>
        <v>95691235</v>
      </c>
      <c r="BH31" s="44">
        <f t="shared" si="23"/>
        <v>0</v>
      </c>
      <c r="BI31" s="44">
        <f t="shared" si="23"/>
        <v>0</v>
      </c>
      <c r="BJ31" s="44">
        <f t="shared" si="23"/>
        <v>0</v>
      </c>
      <c r="BK31" s="44">
        <f t="shared" si="23"/>
        <v>0</v>
      </c>
      <c r="BL31" s="44">
        <f t="shared" si="23"/>
        <v>0</v>
      </c>
      <c r="BM31" s="44">
        <f t="shared" si="23"/>
        <v>0</v>
      </c>
      <c r="BN31" s="44">
        <f t="shared" si="23"/>
        <v>0</v>
      </c>
      <c r="BO31" s="44">
        <f t="shared" si="23"/>
        <v>95691235</v>
      </c>
      <c r="BP31" s="44">
        <f t="shared" si="23"/>
        <v>0</v>
      </c>
      <c r="BQ31" s="44">
        <f t="shared" si="23"/>
        <v>0</v>
      </c>
      <c r="BR31" s="44">
        <f t="shared" si="23"/>
        <v>0</v>
      </c>
      <c r="BS31" s="44">
        <f t="shared" si="23"/>
        <v>0</v>
      </c>
      <c r="BT31" s="44">
        <f t="shared" si="23"/>
        <v>0</v>
      </c>
      <c r="BU31" s="44">
        <f t="shared" si="23"/>
        <v>0</v>
      </c>
      <c r="BV31" s="44">
        <f t="shared" si="23"/>
        <v>0</v>
      </c>
      <c r="BW31" s="44">
        <f t="shared" si="23"/>
        <v>0</v>
      </c>
      <c r="BX31" s="44">
        <f t="shared" si="24"/>
        <v>0</v>
      </c>
      <c r="BY31" s="44">
        <f t="shared" si="24"/>
        <v>0</v>
      </c>
      <c r="BZ31" s="44">
        <f t="shared" si="24"/>
        <v>0</v>
      </c>
      <c r="CA31" s="44">
        <f t="shared" si="24"/>
        <v>0</v>
      </c>
      <c r="CB31" s="44">
        <f t="shared" si="24"/>
        <v>0</v>
      </c>
      <c r="CC31" s="44">
        <f t="shared" si="24"/>
        <v>0</v>
      </c>
      <c r="CD31" s="44">
        <f t="shared" si="24"/>
        <v>0</v>
      </c>
      <c r="CE31" s="46">
        <f t="shared" si="6"/>
        <v>0.47073561000000003</v>
      </c>
      <c r="CF31" s="44">
        <f t="shared" si="25"/>
        <v>141220683</v>
      </c>
      <c r="CG31" s="44"/>
      <c r="CH31" s="44"/>
      <c r="CI31" s="44"/>
      <c r="CJ31" s="44"/>
      <c r="CK31" s="44"/>
      <c r="CL31" s="44"/>
      <c r="CM31" s="44"/>
      <c r="CN31" s="44">
        <f>+'[5]Acuerdo PLAN INVERSIÓN 2021'!$H$1623</f>
        <v>141220683</v>
      </c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6">
        <f t="shared" si="8"/>
        <v>0.52926439000000003</v>
      </c>
      <c r="DE31" s="44">
        <f t="shared" si="26"/>
        <v>158779317</v>
      </c>
      <c r="DF31" s="44">
        <f t="shared" si="27"/>
        <v>0</v>
      </c>
      <c r="DG31" s="44">
        <f t="shared" si="27"/>
        <v>0</v>
      </c>
      <c r="DH31" s="44">
        <f t="shared" si="27"/>
        <v>0</v>
      </c>
      <c r="DI31" s="44">
        <f t="shared" si="27"/>
        <v>0</v>
      </c>
      <c r="DJ31" s="44">
        <f t="shared" si="27"/>
        <v>0</v>
      </c>
      <c r="DK31" s="44">
        <f t="shared" si="27"/>
        <v>0</v>
      </c>
      <c r="DL31" s="44">
        <f t="shared" si="27"/>
        <v>0</v>
      </c>
      <c r="DM31" s="44">
        <f t="shared" si="27"/>
        <v>158779317</v>
      </c>
      <c r="DN31" s="44">
        <f t="shared" si="27"/>
        <v>0</v>
      </c>
      <c r="DO31" s="44">
        <f t="shared" si="27"/>
        <v>0</v>
      </c>
      <c r="DP31" s="44">
        <f t="shared" si="27"/>
        <v>0</v>
      </c>
      <c r="DQ31" s="44">
        <f t="shared" si="27"/>
        <v>0</v>
      </c>
      <c r="DR31" s="44">
        <f t="shared" si="27"/>
        <v>0</v>
      </c>
      <c r="DS31" s="44">
        <f t="shared" si="27"/>
        <v>0</v>
      </c>
      <c r="DT31" s="44">
        <f t="shared" si="27"/>
        <v>0</v>
      </c>
      <c r="DU31" s="44">
        <f t="shared" si="27"/>
        <v>0</v>
      </c>
      <c r="DV31" s="44">
        <f t="shared" si="28"/>
        <v>0</v>
      </c>
      <c r="DW31" s="44">
        <f t="shared" si="28"/>
        <v>0</v>
      </c>
      <c r="DX31" s="44">
        <f t="shared" si="28"/>
        <v>0</v>
      </c>
      <c r="DY31" s="44">
        <f t="shared" si="28"/>
        <v>0</v>
      </c>
      <c r="DZ31" s="44">
        <f t="shared" si="28"/>
        <v>0</v>
      </c>
      <c r="EA31" s="44">
        <f t="shared" si="28"/>
        <v>0</v>
      </c>
      <c r="EB31" s="44">
        <f t="shared" si="28"/>
        <v>0</v>
      </c>
    </row>
    <row r="32" spans="1:132" ht="23.25" customHeight="1" x14ac:dyDescent="0.25">
      <c r="A32" s="52"/>
      <c r="B32" s="82"/>
      <c r="C32" s="40" t="s">
        <v>118</v>
      </c>
      <c r="D32" s="54" t="s">
        <v>119</v>
      </c>
      <c r="E32" s="42">
        <v>410</v>
      </c>
      <c r="F32" s="43" t="s">
        <v>111</v>
      </c>
      <c r="G32" s="44">
        <f t="shared" si="20"/>
        <v>111215829</v>
      </c>
      <c r="H32" s="45"/>
      <c r="I32" s="45">
        <f t="shared" si="29"/>
        <v>-111215829</v>
      </c>
      <c r="J32" s="44"/>
      <c r="K32" s="44"/>
      <c r="L32" s="44"/>
      <c r="M32" s="44"/>
      <c r="N32" s="44"/>
      <c r="O32" s="44"/>
      <c r="P32" s="44"/>
      <c r="Q32" s="44">
        <f>11215829+50000000</f>
        <v>61215829</v>
      </c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50000000</v>
      </c>
      <c r="AC32" s="44"/>
      <c r="AD32" s="44"/>
      <c r="AE32" s="44"/>
      <c r="AF32" s="44"/>
      <c r="AG32" s="46">
        <f t="shared" si="1"/>
        <v>0.61583219417444612</v>
      </c>
      <c r="AH32" s="44">
        <f t="shared" si="21"/>
        <v>68490288</v>
      </c>
      <c r="AI32" s="44"/>
      <c r="AJ32" s="44"/>
      <c r="AK32" s="44"/>
      <c r="AL32" s="44"/>
      <c r="AM32" s="44"/>
      <c r="AN32" s="44"/>
      <c r="AO32" s="44"/>
      <c r="AP32" s="44">
        <f>+'[6]Acuerdo PLAN INVERSIÓN 2021'!$S$1389</f>
        <v>18490288</v>
      </c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>
        <f>+'[6]Acuerdo PLAN INVERSIÓN 2021'!$Y$1389</f>
        <v>50000000</v>
      </c>
      <c r="BB32" s="44"/>
      <c r="BC32" s="44"/>
      <c r="BD32" s="44"/>
      <c r="BE32" s="44"/>
      <c r="BF32" s="46">
        <f t="shared" si="12"/>
        <v>0.38416780582555388</v>
      </c>
      <c r="BG32" s="44">
        <f t="shared" si="22"/>
        <v>42725541</v>
      </c>
      <c r="BH32" s="44">
        <f t="shared" si="23"/>
        <v>0</v>
      </c>
      <c r="BI32" s="44">
        <f t="shared" si="23"/>
        <v>0</v>
      </c>
      <c r="BJ32" s="44">
        <f t="shared" si="23"/>
        <v>0</v>
      </c>
      <c r="BK32" s="44">
        <f t="shared" si="23"/>
        <v>0</v>
      </c>
      <c r="BL32" s="44">
        <f t="shared" si="23"/>
        <v>0</v>
      </c>
      <c r="BM32" s="44">
        <f t="shared" si="23"/>
        <v>0</v>
      </c>
      <c r="BN32" s="44">
        <f t="shared" si="23"/>
        <v>0</v>
      </c>
      <c r="BO32" s="44">
        <f t="shared" si="23"/>
        <v>42725541</v>
      </c>
      <c r="BP32" s="44">
        <f t="shared" si="23"/>
        <v>0</v>
      </c>
      <c r="BQ32" s="44">
        <f t="shared" si="23"/>
        <v>0</v>
      </c>
      <c r="BR32" s="44">
        <f t="shared" si="23"/>
        <v>0</v>
      </c>
      <c r="BS32" s="44">
        <f t="shared" si="23"/>
        <v>0</v>
      </c>
      <c r="BT32" s="44">
        <f t="shared" si="23"/>
        <v>0</v>
      </c>
      <c r="BU32" s="44">
        <f t="shared" si="23"/>
        <v>0</v>
      </c>
      <c r="BV32" s="44">
        <f t="shared" si="23"/>
        <v>0</v>
      </c>
      <c r="BW32" s="44">
        <f t="shared" si="23"/>
        <v>0</v>
      </c>
      <c r="BX32" s="44">
        <f t="shared" si="24"/>
        <v>0</v>
      </c>
      <c r="BY32" s="44">
        <f t="shared" si="24"/>
        <v>0</v>
      </c>
      <c r="BZ32" s="44">
        <f t="shared" si="24"/>
        <v>0</v>
      </c>
      <c r="CA32" s="44">
        <f t="shared" si="24"/>
        <v>0</v>
      </c>
      <c r="CB32" s="44">
        <f t="shared" si="24"/>
        <v>0</v>
      </c>
      <c r="CC32" s="44">
        <f t="shared" si="24"/>
        <v>0</v>
      </c>
      <c r="CD32" s="44">
        <f t="shared" si="24"/>
        <v>0</v>
      </c>
      <c r="CE32" s="46">
        <f t="shared" si="6"/>
        <v>0.15933062909597159</v>
      </c>
      <c r="CF32" s="44">
        <f t="shared" si="25"/>
        <v>17720088</v>
      </c>
      <c r="CG32" s="44"/>
      <c r="CH32" s="44"/>
      <c r="CI32" s="44"/>
      <c r="CJ32" s="44"/>
      <c r="CK32" s="44"/>
      <c r="CL32" s="44"/>
      <c r="CM32" s="44"/>
      <c r="CN32" s="44">
        <f>+'[5]Acuerdo PLAN INVERSIÓN 2021'!$H$1725+'[5]Acuerdo PLAN INVERSIÓN 2021'!$H$1728+'[5]Acuerdo PLAN INVERSIÓN 2021'!$H$1731+'[5]Acuerdo PLAN INVERSIÓN 2021'!$H$1734+'[5]Acuerdo PLAN INVERSIÓN 2021'!$H$1739+'[5]Acuerdo PLAN INVERSIÓN 2021'!$H$1742+'[5]Acuerdo PLAN INVERSIÓN 2021'!$H$1745+'[5]Acuerdo PLAN INVERSIÓN 2021'!$H$1748+'[5]Acuerdo PLAN INVERSIÓN 2021'!$H$1753+'[5]Acuerdo PLAN INVERSIÓN 2021'!$H$1756+'[5]Acuerdo PLAN INVERSIÓN 2021'!$H$1759+'[5]Acuerdo PLAN INVERSIÓN 2021'!$H$1762+'[5]Acuerdo PLAN INVERSIÓN 2021'!$H$1765</f>
        <v>17720088</v>
      </c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6">
        <f t="shared" si="8"/>
        <v>0.84066937090402838</v>
      </c>
      <c r="DE32" s="44">
        <f t="shared" si="26"/>
        <v>93495741</v>
      </c>
      <c r="DF32" s="44">
        <f t="shared" si="27"/>
        <v>0</v>
      </c>
      <c r="DG32" s="44">
        <f t="shared" si="27"/>
        <v>0</v>
      </c>
      <c r="DH32" s="44">
        <f t="shared" si="27"/>
        <v>0</v>
      </c>
      <c r="DI32" s="44">
        <f t="shared" si="27"/>
        <v>0</v>
      </c>
      <c r="DJ32" s="44">
        <f t="shared" si="27"/>
        <v>0</v>
      </c>
      <c r="DK32" s="44">
        <f t="shared" si="27"/>
        <v>0</v>
      </c>
      <c r="DL32" s="44">
        <f t="shared" si="27"/>
        <v>0</v>
      </c>
      <c r="DM32" s="44">
        <f t="shared" si="27"/>
        <v>43495741</v>
      </c>
      <c r="DN32" s="44">
        <f t="shared" si="27"/>
        <v>0</v>
      </c>
      <c r="DO32" s="44">
        <f t="shared" si="27"/>
        <v>0</v>
      </c>
      <c r="DP32" s="44">
        <f t="shared" si="27"/>
        <v>0</v>
      </c>
      <c r="DQ32" s="44">
        <f t="shared" si="27"/>
        <v>0</v>
      </c>
      <c r="DR32" s="44">
        <f t="shared" si="27"/>
        <v>0</v>
      </c>
      <c r="DS32" s="44">
        <f t="shared" si="27"/>
        <v>0</v>
      </c>
      <c r="DT32" s="44">
        <f t="shared" si="27"/>
        <v>0</v>
      </c>
      <c r="DU32" s="44">
        <f t="shared" si="27"/>
        <v>0</v>
      </c>
      <c r="DV32" s="44">
        <f t="shared" si="28"/>
        <v>0</v>
      </c>
      <c r="DW32" s="44">
        <f t="shared" si="28"/>
        <v>0</v>
      </c>
      <c r="DX32" s="44">
        <f t="shared" si="28"/>
        <v>50000000</v>
      </c>
      <c r="DY32" s="44">
        <f t="shared" si="28"/>
        <v>0</v>
      </c>
      <c r="DZ32" s="44">
        <f t="shared" si="28"/>
        <v>0</v>
      </c>
      <c r="EA32" s="44">
        <f t="shared" si="28"/>
        <v>0</v>
      </c>
      <c r="EB32" s="44">
        <f t="shared" si="28"/>
        <v>0</v>
      </c>
    </row>
    <row r="33" spans="1:132" ht="26.25" customHeight="1" x14ac:dyDescent="0.25">
      <c r="A33" s="52"/>
      <c r="B33" s="82"/>
      <c r="C33" s="40" t="s">
        <v>120</v>
      </c>
      <c r="D33" s="54" t="s">
        <v>121</v>
      </c>
      <c r="E33" s="42">
        <v>410</v>
      </c>
      <c r="F33" s="43" t="s">
        <v>122</v>
      </c>
      <c r="G33" s="44">
        <f t="shared" si="20"/>
        <v>296000000</v>
      </c>
      <c r="H33" s="45">
        <v>327960000</v>
      </c>
      <c r="I33" s="45">
        <f t="shared" si="29"/>
        <v>31960000</v>
      </c>
      <c r="J33" s="44"/>
      <c r="K33" s="44"/>
      <c r="L33" s="44"/>
      <c r="M33" s="44"/>
      <c r="N33" s="44"/>
      <c r="O33" s="44"/>
      <c r="P33" s="44"/>
      <c r="Q33" s="44">
        <f>200000000+90000000</f>
        <v>290000000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>
        <f>3000000+3000000</f>
        <v>6000000</v>
      </c>
      <c r="AG33" s="46">
        <f t="shared" si="1"/>
        <v>0.86985321283783779</v>
      </c>
      <c r="AH33" s="44">
        <f t="shared" si="21"/>
        <v>257476551</v>
      </c>
      <c r="AI33" s="44"/>
      <c r="AJ33" s="44"/>
      <c r="AK33" s="44"/>
      <c r="AL33" s="44"/>
      <c r="AM33" s="44"/>
      <c r="AN33" s="44"/>
      <c r="AO33" s="44"/>
      <c r="AP33" s="44">
        <f>+'[5]Acuerdo PLAN INVERSIÓN 2021'!$S$1770</f>
        <v>251476551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>
        <f>+'[6]Acuerdo PLAN INVERSIÓN 2021'!$AF$1423</f>
        <v>6000000</v>
      </c>
      <c r="BF33" s="46">
        <f t="shared" si="12"/>
        <v>0.13014678716216221</v>
      </c>
      <c r="BG33" s="44">
        <f t="shared" si="22"/>
        <v>38523449</v>
      </c>
      <c r="BH33" s="44">
        <f t="shared" si="23"/>
        <v>0</v>
      </c>
      <c r="BI33" s="44">
        <f t="shared" si="23"/>
        <v>0</v>
      </c>
      <c r="BJ33" s="44">
        <f t="shared" si="23"/>
        <v>0</v>
      </c>
      <c r="BK33" s="44">
        <f t="shared" si="23"/>
        <v>0</v>
      </c>
      <c r="BL33" s="44">
        <f t="shared" si="23"/>
        <v>0</v>
      </c>
      <c r="BM33" s="44">
        <f t="shared" si="23"/>
        <v>0</v>
      </c>
      <c r="BN33" s="44">
        <f t="shared" si="23"/>
        <v>0</v>
      </c>
      <c r="BO33" s="44">
        <f t="shared" si="23"/>
        <v>38523449</v>
      </c>
      <c r="BP33" s="44">
        <f t="shared" si="23"/>
        <v>0</v>
      </c>
      <c r="BQ33" s="44">
        <f t="shared" si="23"/>
        <v>0</v>
      </c>
      <c r="BR33" s="44">
        <f t="shared" si="23"/>
        <v>0</v>
      </c>
      <c r="BS33" s="44">
        <f t="shared" si="23"/>
        <v>0</v>
      </c>
      <c r="BT33" s="44">
        <f t="shared" si="23"/>
        <v>0</v>
      </c>
      <c r="BU33" s="44">
        <f t="shared" si="23"/>
        <v>0</v>
      </c>
      <c r="BV33" s="44">
        <f t="shared" si="23"/>
        <v>0</v>
      </c>
      <c r="BW33" s="44">
        <f t="shared" si="23"/>
        <v>0</v>
      </c>
      <c r="BX33" s="44">
        <f t="shared" si="24"/>
        <v>0</v>
      </c>
      <c r="BY33" s="44">
        <f t="shared" si="24"/>
        <v>0</v>
      </c>
      <c r="BZ33" s="44">
        <f t="shared" si="24"/>
        <v>0</v>
      </c>
      <c r="CA33" s="44">
        <f t="shared" si="24"/>
        <v>0</v>
      </c>
      <c r="CB33" s="44">
        <f t="shared" si="24"/>
        <v>0</v>
      </c>
      <c r="CC33" s="44">
        <f t="shared" si="24"/>
        <v>0</v>
      </c>
      <c r="CD33" s="44">
        <f t="shared" si="24"/>
        <v>0</v>
      </c>
      <c r="CE33" s="46">
        <f t="shared" si="6"/>
        <v>0.35288062162162165</v>
      </c>
      <c r="CF33" s="44">
        <f t="shared" si="25"/>
        <v>104452664</v>
      </c>
      <c r="CG33" s="44"/>
      <c r="CH33" s="44"/>
      <c r="CI33" s="44"/>
      <c r="CJ33" s="44"/>
      <c r="CK33" s="44"/>
      <c r="CL33" s="44"/>
      <c r="CM33" s="44"/>
      <c r="CN33" s="44">
        <f>+'[5]Acuerdo PLAN INVERSIÓN 2021'!$H$1768-DC33</f>
        <v>98516664</v>
      </c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>
        <f>+'[5]Acuerdo PLAN INVERSIÓN 2021'!$H$1799+'[5]Acuerdo PLAN INVERSIÓN 2021'!$H$1802+'[5]Acuerdo PLAN INVERSIÓN 2021'!$H$1851+'[5]Acuerdo PLAN INVERSIÓN 2021'!$H$1855</f>
        <v>5936000</v>
      </c>
      <c r="DD33" s="46">
        <f t="shared" si="8"/>
        <v>0.64711937837837841</v>
      </c>
      <c r="DE33" s="44">
        <f t="shared" si="26"/>
        <v>191547336</v>
      </c>
      <c r="DF33" s="44">
        <f t="shared" si="27"/>
        <v>0</v>
      </c>
      <c r="DG33" s="44">
        <f t="shared" si="27"/>
        <v>0</v>
      </c>
      <c r="DH33" s="44">
        <f t="shared" si="27"/>
        <v>0</v>
      </c>
      <c r="DI33" s="44">
        <f t="shared" si="27"/>
        <v>0</v>
      </c>
      <c r="DJ33" s="44">
        <f t="shared" si="27"/>
        <v>0</v>
      </c>
      <c r="DK33" s="44">
        <f t="shared" si="27"/>
        <v>0</v>
      </c>
      <c r="DL33" s="44">
        <f t="shared" si="27"/>
        <v>0</v>
      </c>
      <c r="DM33" s="44">
        <f t="shared" si="27"/>
        <v>191483336</v>
      </c>
      <c r="DN33" s="44">
        <f t="shared" si="27"/>
        <v>0</v>
      </c>
      <c r="DO33" s="44">
        <f t="shared" si="27"/>
        <v>0</v>
      </c>
      <c r="DP33" s="44">
        <f t="shared" si="27"/>
        <v>0</v>
      </c>
      <c r="DQ33" s="44">
        <f t="shared" si="27"/>
        <v>0</v>
      </c>
      <c r="DR33" s="44">
        <f t="shared" si="27"/>
        <v>0</v>
      </c>
      <c r="DS33" s="44">
        <f t="shared" si="27"/>
        <v>0</v>
      </c>
      <c r="DT33" s="44">
        <f t="shared" si="27"/>
        <v>0</v>
      </c>
      <c r="DU33" s="44">
        <f t="shared" si="27"/>
        <v>0</v>
      </c>
      <c r="DV33" s="44">
        <f t="shared" si="28"/>
        <v>0</v>
      </c>
      <c r="DW33" s="44">
        <f t="shared" si="28"/>
        <v>0</v>
      </c>
      <c r="DX33" s="44">
        <f t="shared" si="28"/>
        <v>0</v>
      </c>
      <c r="DY33" s="44">
        <f t="shared" si="28"/>
        <v>0</v>
      </c>
      <c r="DZ33" s="44">
        <f t="shared" si="28"/>
        <v>0</v>
      </c>
      <c r="EA33" s="44">
        <f t="shared" si="28"/>
        <v>0</v>
      </c>
      <c r="EB33" s="44">
        <f t="shared" si="28"/>
        <v>64000</v>
      </c>
    </row>
    <row r="34" spans="1:132" ht="33" customHeight="1" x14ac:dyDescent="0.25">
      <c r="A34" s="50" t="s">
        <v>98</v>
      </c>
      <c r="B34" s="77" t="s">
        <v>123</v>
      </c>
      <c r="C34" s="83" t="s">
        <v>124</v>
      </c>
      <c r="D34" s="54" t="s">
        <v>125</v>
      </c>
      <c r="E34" s="55">
        <v>410</v>
      </c>
      <c r="F34" s="43" t="s">
        <v>126</v>
      </c>
      <c r="G34" s="44">
        <f>SUM(J34:AF34)</f>
        <v>101812653</v>
      </c>
      <c r="H34" s="45">
        <v>207000000</v>
      </c>
      <c r="I34" s="45">
        <f t="shared" si="29"/>
        <v>105187347</v>
      </c>
      <c r="J34" s="44"/>
      <c r="K34" s="44"/>
      <c r="L34" s="44"/>
      <c r="M34" s="44"/>
      <c r="N34" s="44"/>
      <c r="O34" s="44"/>
      <c r="P34" s="44"/>
      <c r="Q34" s="44">
        <f>40000000+12000000</f>
        <v>52000000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>
        <v>20000000</v>
      </c>
      <c r="AC34" s="44"/>
      <c r="AD34" s="44"/>
      <c r="AE34" s="44"/>
      <c r="AF34" s="44">
        <f>12312653+5000000+5000000+1500000+6000000</f>
        <v>29812653</v>
      </c>
      <c r="AG34" s="46">
        <f t="shared" si="1"/>
        <v>0.7689968947179876</v>
      </c>
      <c r="AH34" s="44">
        <f t="shared" si="21"/>
        <v>78293614</v>
      </c>
      <c r="AI34" s="44"/>
      <c r="AJ34" s="44"/>
      <c r="AK34" s="44"/>
      <c r="AL34" s="44"/>
      <c r="AM34" s="44"/>
      <c r="AN34" s="44"/>
      <c r="AO34" s="44"/>
      <c r="AP34" s="44">
        <f>+'[5]Acuerdo PLAN INVERSIÓN 2021'!$S$1866</f>
        <v>43720961</v>
      </c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>
        <f>+'[5]Acuerdo PLAN INVERSIÓN 2021'!$Y$1866</f>
        <v>12260000</v>
      </c>
      <c r="BB34" s="44"/>
      <c r="BC34" s="44"/>
      <c r="BD34" s="44"/>
      <c r="BE34" s="44">
        <f>+'[5]Acuerdo PLAN INVERSIÓN 2021'!$AF$1866</f>
        <v>22312653</v>
      </c>
      <c r="BF34" s="46">
        <f t="shared" si="12"/>
        <v>0.2310031052820124</v>
      </c>
      <c r="BG34" s="44">
        <f t="shared" si="22"/>
        <v>23519039</v>
      </c>
      <c r="BH34" s="44">
        <f t="shared" si="23"/>
        <v>0</v>
      </c>
      <c r="BI34" s="44">
        <f t="shared" si="23"/>
        <v>0</v>
      </c>
      <c r="BJ34" s="44">
        <f t="shared" si="23"/>
        <v>0</v>
      </c>
      <c r="BK34" s="44">
        <f t="shared" si="23"/>
        <v>0</v>
      </c>
      <c r="BL34" s="44">
        <f t="shared" si="23"/>
        <v>0</v>
      </c>
      <c r="BM34" s="44">
        <f t="shared" si="23"/>
        <v>0</v>
      </c>
      <c r="BN34" s="44">
        <f t="shared" si="23"/>
        <v>0</v>
      </c>
      <c r="BO34" s="44">
        <f t="shared" si="23"/>
        <v>8279039</v>
      </c>
      <c r="BP34" s="44">
        <f t="shared" si="23"/>
        <v>0</v>
      </c>
      <c r="BQ34" s="44">
        <f t="shared" si="23"/>
        <v>0</v>
      </c>
      <c r="BR34" s="44">
        <f t="shared" si="23"/>
        <v>0</v>
      </c>
      <c r="BS34" s="44">
        <f t="shared" si="23"/>
        <v>0</v>
      </c>
      <c r="BT34" s="44">
        <f t="shared" si="23"/>
        <v>0</v>
      </c>
      <c r="BU34" s="44">
        <f t="shared" si="23"/>
        <v>0</v>
      </c>
      <c r="BV34" s="44">
        <f t="shared" si="23"/>
        <v>0</v>
      </c>
      <c r="BW34" s="44">
        <f t="shared" si="23"/>
        <v>0</v>
      </c>
      <c r="BX34" s="44">
        <f t="shared" si="24"/>
        <v>0</v>
      </c>
      <c r="BY34" s="44">
        <f t="shared" si="24"/>
        <v>0</v>
      </c>
      <c r="BZ34" s="44">
        <f t="shared" si="24"/>
        <v>7740000</v>
      </c>
      <c r="CA34" s="44">
        <f t="shared" si="24"/>
        <v>0</v>
      </c>
      <c r="CB34" s="44">
        <f t="shared" si="24"/>
        <v>0</v>
      </c>
      <c r="CC34" s="44">
        <f t="shared" si="24"/>
        <v>0</v>
      </c>
      <c r="CD34" s="44">
        <f t="shared" si="24"/>
        <v>7500000</v>
      </c>
      <c r="CE34" s="46">
        <f t="shared" si="6"/>
        <v>0.47807170882778194</v>
      </c>
      <c r="CF34" s="44">
        <f t="shared" si="25"/>
        <v>48673749</v>
      </c>
      <c r="CG34" s="44"/>
      <c r="CH34" s="44"/>
      <c r="CI34" s="44"/>
      <c r="CJ34" s="44"/>
      <c r="CK34" s="44"/>
      <c r="CL34" s="44"/>
      <c r="CM34" s="44"/>
      <c r="CN34" s="44">
        <f>+'[5]Acuerdo PLAN INVERSIÓN 2021'!$H$1864-CY34-DC34</f>
        <v>23751096</v>
      </c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>
        <f>+'[5]Acuerdo PLAN INVERSIÓN 2021'!$H$1930+'[5]Acuerdo PLAN INVERSIÓN 2021'!$H$1945+'[5]Acuerdo PLAN INVERSIÓN 2021'!$H$1962+'[5]Acuerdo PLAN INVERSIÓN 2021'!$H$1970</f>
        <v>8610000</v>
      </c>
      <c r="CZ34" s="44"/>
      <c r="DA34" s="44"/>
      <c r="DB34" s="44"/>
      <c r="DC34" s="44">
        <f>+'[5]Acuerdo PLAN INVERSIÓN 2021'!$H$1871+'[5]Acuerdo PLAN INVERSIÓN 2021'!$H$1876+'[5]Acuerdo PLAN INVERSIÓN 2021'!$H$1879+'[5]Acuerdo PLAN INVERSIÓN 2021'!$H$1883+'[5]Acuerdo PLAN INVERSIÓN 2021'!$H$1904+'[5]Acuerdo PLAN INVERSIÓN 2021'!$H$1975</f>
        <v>16312653</v>
      </c>
      <c r="DD34" s="46">
        <f t="shared" si="8"/>
        <v>0.52192829117221806</v>
      </c>
      <c r="DE34" s="44">
        <f t="shared" si="26"/>
        <v>53138904</v>
      </c>
      <c r="DF34" s="44">
        <f t="shared" si="27"/>
        <v>0</v>
      </c>
      <c r="DG34" s="44">
        <f t="shared" si="27"/>
        <v>0</v>
      </c>
      <c r="DH34" s="44">
        <f t="shared" si="27"/>
        <v>0</v>
      </c>
      <c r="DI34" s="44">
        <f t="shared" si="27"/>
        <v>0</v>
      </c>
      <c r="DJ34" s="44">
        <f t="shared" si="27"/>
        <v>0</v>
      </c>
      <c r="DK34" s="44">
        <f t="shared" si="27"/>
        <v>0</v>
      </c>
      <c r="DL34" s="44">
        <f t="shared" si="27"/>
        <v>0</v>
      </c>
      <c r="DM34" s="44">
        <f t="shared" si="27"/>
        <v>28248904</v>
      </c>
      <c r="DN34" s="44">
        <f t="shared" si="27"/>
        <v>0</v>
      </c>
      <c r="DO34" s="44">
        <f t="shared" si="27"/>
        <v>0</v>
      </c>
      <c r="DP34" s="44">
        <f t="shared" si="27"/>
        <v>0</v>
      </c>
      <c r="DQ34" s="44">
        <f t="shared" si="27"/>
        <v>0</v>
      </c>
      <c r="DR34" s="44">
        <f t="shared" si="27"/>
        <v>0</v>
      </c>
      <c r="DS34" s="44">
        <f t="shared" si="27"/>
        <v>0</v>
      </c>
      <c r="DT34" s="44">
        <f t="shared" si="27"/>
        <v>0</v>
      </c>
      <c r="DU34" s="44">
        <f t="shared" si="27"/>
        <v>0</v>
      </c>
      <c r="DV34" s="44">
        <f t="shared" si="28"/>
        <v>0</v>
      </c>
      <c r="DW34" s="44">
        <f t="shared" si="28"/>
        <v>0</v>
      </c>
      <c r="DX34" s="44">
        <f t="shared" si="28"/>
        <v>11390000</v>
      </c>
      <c r="DY34" s="44">
        <f t="shared" si="28"/>
        <v>0</v>
      </c>
      <c r="DZ34" s="44">
        <f t="shared" si="28"/>
        <v>0</v>
      </c>
      <c r="EA34" s="44">
        <f t="shared" si="28"/>
        <v>0</v>
      </c>
      <c r="EB34" s="44">
        <f t="shared" si="28"/>
        <v>13500000</v>
      </c>
    </row>
    <row r="35" spans="1:132" ht="53.25" customHeight="1" x14ac:dyDescent="0.25">
      <c r="A35" s="50"/>
      <c r="B35" s="84"/>
      <c r="C35" s="83" t="s">
        <v>127</v>
      </c>
      <c r="D35" s="54" t="s">
        <v>128</v>
      </c>
      <c r="E35" s="55">
        <v>410</v>
      </c>
      <c r="F35" s="85" t="s">
        <v>129</v>
      </c>
      <c r="G35" s="44">
        <f t="shared" si="20"/>
        <v>101000000</v>
      </c>
      <c r="H35" s="45">
        <v>237500000</v>
      </c>
      <c r="I35" s="45">
        <f t="shared" si="29"/>
        <v>136500000</v>
      </c>
      <c r="J35" s="44"/>
      <c r="K35" s="44">
        <v>20000000</v>
      </c>
      <c r="L35" s="44"/>
      <c r="M35" s="44"/>
      <c r="N35" s="44"/>
      <c r="O35" s="44"/>
      <c r="P35" s="44"/>
      <c r="Q35" s="44">
        <f>20000000+12000000</f>
        <v>32000000</v>
      </c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>
        <f>43000000+6000000</f>
        <v>49000000</v>
      </c>
      <c r="AG35" s="46">
        <f t="shared" si="1"/>
        <v>0.63074257425742575</v>
      </c>
      <c r="AH35" s="44">
        <f t="shared" si="21"/>
        <v>63705000</v>
      </c>
      <c r="AI35" s="44"/>
      <c r="AJ35" s="44">
        <f>+'[6]Acuerdo PLAN INVERSIÓN 2021'!$J$1586</f>
        <v>15000000</v>
      </c>
      <c r="AK35" s="44"/>
      <c r="AL35" s="44"/>
      <c r="AM35" s="44"/>
      <c r="AN35" s="44"/>
      <c r="AO35" s="44"/>
      <c r="AP35" s="44">
        <f>+'[5]Acuerdo PLAN INVERSIÓN 2021'!$S$1983</f>
        <v>16000000</v>
      </c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>
        <f>+'[5]Acuerdo PLAN INVERSIÓN 2021'!$AF$1983</f>
        <v>32705000</v>
      </c>
      <c r="BF35" s="46">
        <f t="shared" si="12"/>
        <v>0.36925742574257425</v>
      </c>
      <c r="BG35" s="44">
        <f t="shared" si="22"/>
        <v>37295000</v>
      </c>
      <c r="BH35" s="44">
        <f t="shared" si="23"/>
        <v>0</v>
      </c>
      <c r="BI35" s="44">
        <f t="shared" si="23"/>
        <v>5000000</v>
      </c>
      <c r="BJ35" s="44">
        <f t="shared" si="23"/>
        <v>0</v>
      </c>
      <c r="BK35" s="44">
        <f t="shared" si="23"/>
        <v>0</v>
      </c>
      <c r="BL35" s="44">
        <f t="shared" si="23"/>
        <v>0</v>
      </c>
      <c r="BM35" s="44">
        <f t="shared" si="23"/>
        <v>0</v>
      </c>
      <c r="BN35" s="44">
        <f t="shared" si="23"/>
        <v>0</v>
      </c>
      <c r="BO35" s="44">
        <f t="shared" si="23"/>
        <v>16000000</v>
      </c>
      <c r="BP35" s="44">
        <f t="shared" si="23"/>
        <v>0</v>
      </c>
      <c r="BQ35" s="44">
        <f t="shared" si="23"/>
        <v>0</v>
      </c>
      <c r="BR35" s="44">
        <f t="shared" si="23"/>
        <v>0</v>
      </c>
      <c r="BS35" s="44">
        <f t="shared" si="23"/>
        <v>0</v>
      </c>
      <c r="BT35" s="44">
        <f t="shared" si="23"/>
        <v>0</v>
      </c>
      <c r="BU35" s="44">
        <f t="shared" si="23"/>
        <v>0</v>
      </c>
      <c r="BV35" s="44">
        <f t="shared" si="23"/>
        <v>0</v>
      </c>
      <c r="BW35" s="44">
        <f t="shared" si="23"/>
        <v>0</v>
      </c>
      <c r="BX35" s="44">
        <f t="shared" si="24"/>
        <v>0</v>
      </c>
      <c r="BY35" s="44">
        <f t="shared" si="24"/>
        <v>0</v>
      </c>
      <c r="BZ35" s="44">
        <f t="shared" si="24"/>
        <v>0</v>
      </c>
      <c r="CA35" s="44">
        <f t="shared" si="24"/>
        <v>0</v>
      </c>
      <c r="CB35" s="44">
        <f t="shared" si="24"/>
        <v>0</v>
      </c>
      <c r="CC35" s="44">
        <f t="shared" si="24"/>
        <v>0</v>
      </c>
      <c r="CD35" s="44">
        <f t="shared" si="24"/>
        <v>16295000</v>
      </c>
      <c r="CE35" s="46">
        <f t="shared" si="6"/>
        <v>0.50224282178217827</v>
      </c>
      <c r="CF35" s="44">
        <f t="shared" si="25"/>
        <v>50726525</v>
      </c>
      <c r="CG35" s="44"/>
      <c r="CH35" s="44">
        <f>+'[5]Acuerdo PLAN INVERSIÓN 2021'!$H$1996+'[5]Acuerdo PLAN INVERSIÓN 2021'!$H$2018</f>
        <v>14303783</v>
      </c>
      <c r="CI35" s="44"/>
      <c r="CJ35" s="44"/>
      <c r="CK35" s="44"/>
      <c r="CL35" s="44"/>
      <c r="CM35" s="44"/>
      <c r="CN35" s="44">
        <f>+'[5]Acuerdo PLAN INVERSIÓN 2021'!$H$1987+'[5]Acuerdo PLAN INVERSIÓN 2021'!$H$1990+'[5]Acuerdo PLAN INVERSIÓN 2021'!$H$2030+'[5]Acuerdo PLAN INVERSIÓN 2021'!$H$2033</f>
        <v>15913944</v>
      </c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>
        <f>+'[5]Acuerdo PLAN INVERSIÓN 2021'!$H$1981-CN35-CH35</f>
        <v>20508798</v>
      </c>
      <c r="DD35" s="46">
        <f t="shared" si="8"/>
        <v>0.49775717821782173</v>
      </c>
      <c r="DE35" s="44">
        <f t="shared" si="26"/>
        <v>50273475</v>
      </c>
      <c r="DF35" s="44">
        <f t="shared" si="27"/>
        <v>0</v>
      </c>
      <c r="DG35" s="44">
        <f t="shared" si="27"/>
        <v>5696217</v>
      </c>
      <c r="DH35" s="44">
        <f t="shared" si="27"/>
        <v>0</v>
      </c>
      <c r="DI35" s="44">
        <f t="shared" si="27"/>
        <v>0</v>
      </c>
      <c r="DJ35" s="44">
        <f t="shared" si="27"/>
        <v>0</v>
      </c>
      <c r="DK35" s="44">
        <f t="shared" si="27"/>
        <v>0</v>
      </c>
      <c r="DL35" s="44">
        <f t="shared" si="27"/>
        <v>0</v>
      </c>
      <c r="DM35" s="44">
        <f t="shared" si="27"/>
        <v>16086056</v>
      </c>
      <c r="DN35" s="44">
        <f t="shared" si="27"/>
        <v>0</v>
      </c>
      <c r="DO35" s="44">
        <f t="shared" si="27"/>
        <v>0</v>
      </c>
      <c r="DP35" s="44">
        <f t="shared" si="27"/>
        <v>0</v>
      </c>
      <c r="DQ35" s="44">
        <f t="shared" si="27"/>
        <v>0</v>
      </c>
      <c r="DR35" s="44">
        <f t="shared" si="27"/>
        <v>0</v>
      </c>
      <c r="DS35" s="44">
        <f t="shared" si="27"/>
        <v>0</v>
      </c>
      <c r="DT35" s="44">
        <f t="shared" si="27"/>
        <v>0</v>
      </c>
      <c r="DU35" s="44">
        <f t="shared" si="27"/>
        <v>0</v>
      </c>
      <c r="DV35" s="44">
        <f t="shared" si="28"/>
        <v>0</v>
      </c>
      <c r="DW35" s="44">
        <f t="shared" si="28"/>
        <v>0</v>
      </c>
      <c r="DX35" s="44">
        <f t="shared" si="28"/>
        <v>0</v>
      </c>
      <c r="DY35" s="44">
        <f t="shared" si="28"/>
        <v>0</v>
      </c>
      <c r="DZ35" s="44">
        <f t="shared" si="28"/>
        <v>0</v>
      </c>
      <c r="EA35" s="44">
        <f t="shared" si="28"/>
        <v>0</v>
      </c>
      <c r="EB35" s="44">
        <f t="shared" si="28"/>
        <v>28491202</v>
      </c>
    </row>
    <row r="36" spans="1:132" ht="37.15" customHeight="1" x14ac:dyDescent="0.25">
      <c r="A36" s="50"/>
      <c r="B36" s="84"/>
      <c r="C36" s="40" t="s">
        <v>130</v>
      </c>
      <c r="D36" s="54" t="s">
        <v>131</v>
      </c>
      <c r="E36" s="42">
        <v>410</v>
      </c>
      <c r="F36" s="65" t="s">
        <v>132</v>
      </c>
      <c r="G36" s="44">
        <f t="shared" si="20"/>
        <v>58800000</v>
      </c>
      <c r="H36" s="45">
        <v>14000000</v>
      </c>
      <c r="I36" s="45">
        <f t="shared" si="29"/>
        <v>-44800000</v>
      </c>
      <c r="J36" s="44"/>
      <c r="K36" s="44"/>
      <c r="L36" s="44"/>
      <c r="M36" s="44"/>
      <c r="N36" s="44"/>
      <c r="O36" s="44"/>
      <c r="P36" s="44"/>
      <c r="Q36" s="44">
        <f>12000000+10000000</f>
        <v>22000000</v>
      </c>
      <c r="R36" s="44"/>
      <c r="S36" s="44"/>
      <c r="T36" s="44"/>
      <c r="U36" s="44"/>
      <c r="V36" s="44"/>
      <c r="W36" s="44"/>
      <c r="X36" s="44"/>
      <c r="Y36" s="44"/>
      <c r="Z36" s="44"/>
      <c r="AA36" s="44">
        <f>20000000</f>
        <v>20000000</v>
      </c>
      <c r="AB36" s="44"/>
      <c r="AC36" s="44"/>
      <c r="AD36" s="44"/>
      <c r="AE36" s="44"/>
      <c r="AF36" s="44">
        <f>6000000+4000000+6800000</f>
        <v>16800000</v>
      </c>
      <c r="AG36" s="46">
        <f t="shared" si="1"/>
        <v>1</v>
      </c>
      <c r="AH36" s="44">
        <f t="shared" si="21"/>
        <v>58800000</v>
      </c>
      <c r="AI36" s="44"/>
      <c r="AJ36" s="44"/>
      <c r="AK36" s="44"/>
      <c r="AL36" s="44"/>
      <c r="AM36" s="44"/>
      <c r="AN36" s="44"/>
      <c r="AO36" s="44"/>
      <c r="AP36" s="44">
        <f>+'[9]Acuerdo PLAN INVERSIÓN 2021'!$S$531</f>
        <v>22000000</v>
      </c>
      <c r="AQ36" s="44"/>
      <c r="AR36" s="44"/>
      <c r="AS36" s="44"/>
      <c r="AT36" s="44"/>
      <c r="AU36" s="44"/>
      <c r="AV36" s="44"/>
      <c r="AW36" s="44"/>
      <c r="AX36" s="44"/>
      <c r="AY36" s="44"/>
      <c r="AZ36" s="44">
        <f>+'[4]Acuerdo PLAN INVERSIÓN 2021'!$X$803+'[3]Acuerdo PLAN INVERSIÓN 2021'!$X$950</f>
        <v>20000000</v>
      </c>
      <c r="BA36" s="44"/>
      <c r="BB36" s="44"/>
      <c r="BC36" s="44"/>
      <c r="BD36" s="44"/>
      <c r="BE36" s="44">
        <f>+'[1]Acuerdo PLAN INVERSIÓN 2021'!$AF$1342</f>
        <v>16800000</v>
      </c>
      <c r="BF36" s="46">
        <f t="shared" si="12"/>
        <v>0</v>
      </c>
      <c r="BG36" s="44">
        <f t="shared" si="22"/>
        <v>0</v>
      </c>
      <c r="BH36" s="44">
        <f t="shared" si="23"/>
        <v>0</v>
      </c>
      <c r="BI36" s="44">
        <f t="shared" si="23"/>
        <v>0</v>
      </c>
      <c r="BJ36" s="44">
        <f t="shared" si="23"/>
        <v>0</v>
      </c>
      <c r="BK36" s="44">
        <f t="shared" si="23"/>
        <v>0</v>
      </c>
      <c r="BL36" s="44">
        <f t="shared" si="23"/>
        <v>0</v>
      </c>
      <c r="BM36" s="44">
        <f t="shared" si="23"/>
        <v>0</v>
      </c>
      <c r="BN36" s="44">
        <f t="shared" si="23"/>
        <v>0</v>
      </c>
      <c r="BO36" s="44">
        <f t="shared" si="23"/>
        <v>0</v>
      </c>
      <c r="BP36" s="44">
        <f t="shared" si="23"/>
        <v>0</v>
      </c>
      <c r="BQ36" s="44">
        <f t="shared" si="23"/>
        <v>0</v>
      </c>
      <c r="BR36" s="44">
        <f t="shared" si="23"/>
        <v>0</v>
      </c>
      <c r="BS36" s="44">
        <f t="shared" si="23"/>
        <v>0</v>
      </c>
      <c r="BT36" s="44">
        <f t="shared" si="23"/>
        <v>0</v>
      </c>
      <c r="BU36" s="44">
        <f t="shared" si="23"/>
        <v>0</v>
      </c>
      <c r="BV36" s="44">
        <f t="shared" si="23"/>
        <v>0</v>
      </c>
      <c r="BW36" s="44">
        <f t="shared" si="23"/>
        <v>0</v>
      </c>
      <c r="BX36" s="44">
        <f t="shared" si="24"/>
        <v>0</v>
      </c>
      <c r="BY36" s="44">
        <f t="shared" si="24"/>
        <v>0</v>
      </c>
      <c r="BZ36" s="44">
        <f t="shared" si="24"/>
        <v>0</v>
      </c>
      <c r="CA36" s="44">
        <f t="shared" si="24"/>
        <v>0</v>
      </c>
      <c r="CB36" s="44">
        <f t="shared" si="24"/>
        <v>0</v>
      </c>
      <c r="CC36" s="44">
        <f t="shared" si="24"/>
        <v>0</v>
      </c>
      <c r="CD36" s="44">
        <f t="shared" si="24"/>
        <v>0</v>
      </c>
      <c r="CE36" s="46">
        <f t="shared" si="6"/>
        <v>0.75751636054421767</v>
      </c>
      <c r="CF36" s="44">
        <f t="shared" si="25"/>
        <v>44541962</v>
      </c>
      <c r="CG36" s="44"/>
      <c r="CH36" s="44"/>
      <c r="CI36" s="44"/>
      <c r="CJ36" s="44"/>
      <c r="CK36" s="44"/>
      <c r="CL36" s="44"/>
      <c r="CM36" s="44"/>
      <c r="CN36" s="44">
        <f>+'[9]Acuerdo PLAN INVERSIÓN 2021'!$H$535+'[9]Acuerdo PLAN INVERSIÓN 2021'!$H$542</f>
        <v>21810462</v>
      </c>
      <c r="CO36" s="44"/>
      <c r="CP36" s="44"/>
      <c r="CQ36" s="44"/>
      <c r="CR36" s="44"/>
      <c r="CS36" s="44"/>
      <c r="CT36" s="44"/>
      <c r="CU36" s="44"/>
      <c r="CV36" s="44"/>
      <c r="CW36" s="44"/>
      <c r="CX36" s="44">
        <f>+'[6]Acuerdo PLAN INVERSIÓN 2021'!$H$1641+'[6]Acuerdo PLAN INVERSIÓN 2021'!$H$1646+'[5]Acuerdo PLAN INVERSIÓN 2021'!$H$2065</f>
        <v>10579500</v>
      </c>
      <c r="CY36" s="44"/>
      <c r="CZ36" s="44"/>
      <c r="DA36" s="44"/>
      <c r="DB36" s="44"/>
      <c r="DC36" s="44">
        <f>+'[6]Acuerdo PLAN INVERSIÓN 2021'!$H$1628+'[6]Acuerdo PLAN INVERSIÓN 2021'!$H$1649+'[6]Acuerdo PLAN INVERSIÓN 2021'!$H$1653+'[6]Acuerdo PLAN INVERSIÓN 2021'!$H$1656</f>
        <v>12152000</v>
      </c>
      <c r="DD36" s="46">
        <f t="shared" si="8"/>
        <v>0.24248363945578233</v>
      </c>
      <c r="DE36" s="44">
        <f t="shared" si="26"/>
        <v>14258038</v>
      </c>
      <c r="DF36" s="44">
        <f t="shared" si="27"/>
        <v>0</v>
      </c>
      <c r="DG36" s="44">
        <f t="shared" si="27"/>
        <v>0</v>
      </c>
      <c r="DH36" s="44">
        <f t="shared" si="27"/>
        <v>0</v>
      </c>
      <c r="DI36" s="44">
        <f t="shared" si="27"/>
        <v>0</v>
      </c>
      <c r="DJ36" s="44">
        <f t="shared" si="27"/>
        <v>0</v>
      </c>
      <c r="DK36" s="44">
        <f t="shared" si="27"/>
        <v>0</v>
      </c>
      <c r="DL36" s="44">
        <f t="shared" si="27"/>
        <v>0</v>
      </c>
      <c r="DM36" s="44">
        <f t="shared" si="27"/>
        <v>189538</v>
      </c>
      <c r="DN36" s="44">
        <f t="shared" si="27"/>
        <v>0</v>
      </c>
      <c r="DO36" s="44">
        <f t="shared" si="27"/>
        <v>0</v>
      </c>
      <c r="DP36" s="44">
        <f t="shared" si="27"/>
        <v>0</v>
      </c>
      <c r="DQ36" s="44">
        <f t="shared" si="27"/>
        <v>0</v>
      </c>
      <c r="DR36" s="44">
        <f t="shared" si="27"/>
        <v>0</v>
      </c>
      <c r="DS36" s="44">
        <f t="shared" si="27"/>
        <v>0</v>
      </c>
      <c r="DT36" s="44">
        <f t="shared" si="27"/>
        <v>0</v>
      </c>
      <c r="DU36" s="44">
        <f t="shared" si="27"/>
        <v>0</v>
      </c>
      <c r="DV36" s="44">
        <f t="shared" si="28"/>
        <v>0</v>
      </c>
      <c r="DW36" s="44">
        <f t="shared" si="28"/>
        <v>9420500</v>
      </c>
      <c r="DX36" s="44">
        <f t="shared" si="28"/>
        <v>0</v>
      </c>
      <c r="DY36" s="44">
        <f t="shared" si="28"/>
        <v>0</v>
      </c>
      <c r="DZ36" s="44">
        <f t="shared" si="28"/>
        <v>0</v>
      </c>
      <c r="EA36" s="44">
        <f t="shared" si="28"/>
        <v>0</v>
      </c>
      <c r="EB36" s="44">
        <f t="shared" si="28"/>
        <v>4648000</v>
      </c>
    </row>
    <row r="37" spans="1:132" ht="32.450000000000003" customHeight="1" x14ac:dyDescent="0.25">
      <c r="A37" s="50"/>
      <c r="B37" s="84"/>
      <c r="C37" s="40" t="s">
        <v>133</v>
      </c>
      <c r="D37" s="54" t="s">
        <v>134</v>
      </c>
      <c r="E37" s="42">
        <v>410</v>
      </c>
      <c r="F37" s="43" t="s">
        <v>135</v>
      </c>
      <c r="G37" s="44">
        <f t="shared" si="20"/>
        <v>414000000</v>
      </c>
      <c r="H37" s="45">
        <f>280000000+500000000</f>
        <v>780000000</v>
      </c>
      <c r="I37" s="45">
        <f t="shared" si="29"/>
        <v>366000000</v>
      </c>
      <c r="J37" s="44"/>
      <c r="K37" s="44"/>
      <c r="L37" s="44"/>
      <c r="M37" s="44"/>
      <c r="N37" s="44"/>
      <c r="O37" s="44"/>
      <c r="P37" s="44"/>
      <c r="Q37" s="44">
        <f>260000000+90000000-16000000</f>
        <v>334000000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>
        <f>33000000+2000000+10000000+10000000+25000000</f>
        <v>80000000</v>
      </c>
      <c r="AG37" s="46">
        <f t="shared" si="1"/>
        <v>0.75509689130434787</v>
      </c>
      <c r="AH37" s="44">
        <f t="shared" si="21"/>
        <v>312610113</v>
      </c>
      <c r="AI37" s="44"/>
      <c r="AJ37" s="44"/>
      <c r="AK37" s="44"/>
      <c r="AL37" s="44"/>
      <c r="AM37" s="44"/>
      <c r="AN37" s="44"/>
      <c r="AO37" s="44"/>
      <c r="AP37" s="44">
        <f>+'[5]Acuerdo PLAN INVERSIÓN 2021'!$S$2084</f>
        <v>232610113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>
        <f>+'[1]Acuerdo PLAN INVERSIÓN 2021'!$AF$1371</f>
        <v>80000000</v>
      </c>
      <c r="BF37" s="46">
        <f t="shared" si="12"/>
        <v>0.24490310869565213</v>
      </c>
      <c r="BG37" s="44">
        <f t="shared" si="22"/>
        <v>101389887</v>
      </c>
      <c r="BH37" s="44">
        <f t="shared" si="23"/>
        <v>0</v>
      </c>
      <c r="BI37" s="44">
        <f t="shared" si="23"/>
        <v>0</v>
      </c>
      <c r="BJ37" s="44">
        <f t="shared" si="23"/>
        <v>0</v>
      </c>
      <c r="BK37" s="44">
        <f t="shared" si="23"/>
        <v>0</v>
      </c>
      <c r="BL37" s="44">
        <f t="shared" si="23"/>
        <v>0</v>
      </c>
      <c r="BM37" s="44">
        <f t="shared" si="23"/>
        <v>0</v>
      </c>
      <c r="BN37" s="44">
        <f t="shared" si="23"/>
        <v>0</v>
      </c>
      <c r="BO37" s="44">
        <f t="shared" si="23"/>
        <v>101389887</v>
      </c>
      <c r="BP37" s="44">
        <f t="shared" si="23"/>
        <v>0</v>
      </c>
      <c r="BQ37" s="44">
        <f t="shared" si="23"/>
        <v>0</v>
      </c>
      <c r="BR37" s="44">
        <f t="shared" si="23"/>
        <v>0</v>
      </c>
      <c r="BS37" s="44">
        <f t="shared" si="23"/>
        <v>0</v>
      </c>
      <c r="BT37" s="44">
        <f t="shared" si="23"/>
        <v>0</v>
      </c>
      <c r="BU37" s="44">
        <f t="shared" si="23"/>
        <v>0</v>
      </c>
      <c r="BV37" s="44">
        <f t="shared" si="23"/>
        <v>0</v>
      </c>
      <c r="BW37" s="44">
        <f t="shared" si="23"/>
        <v>0</v>
      </c>
      <c r="BX37" s="44">
        <f t="shared" si="24"/>
        <v>0</v>
      </c>
      <c r="BY37" s="44">
        <f t="shared" si="24"/>
        <v>0</v>
      </c>
      <c r="BZ37" s="44">
        <f t="shared" si="24"/>
        <v>0</v>
      </c>
      <c r="CA37" s="44">
        <f t="shared" si="24"/>
        <v>0</v>
      </c>
      <c r="CB37" s="44">
        <f t="shared" si="24"/>
        <v>0</v>
      </c>
      <c r="CC37" s="44">
        <f t="shared" si="24"/>
        <v>0</v>
      </c>
      <c r="CD37" s="44">
        <f t="shared" si="24"/>
        <v>0</v>
      </c>
      <c r="CE37" s="46">
        <f t="shared" si="6"/>
        <v>0.71033984782608695</v>
      </c>
      <c r="CF37" s="44">
        <f t="shared" si="25"/>
        <v>294080697</v>
      </c>
      <c r="CG37" s="44"/>
      <c r="CH37" s="44"/>
      <c r="CI37" s="44"/>
      <c r="CJ37" s="44"/>
      <c r="CK37" s="44"/>
      <c r="CL37" s="44"/>
      <c r="CM37" s="44"/>
      <c r="CN37" s="44">
        <f>+'[5]Acuerdo PLAN INVERSIÓN 2021'!$H$2082-DC37</f>
        <v>217151297</v>
      </c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>
        <f>+'[5]Acuerdo PLAN INVERSIÓN 2021'!$H$2122+'[5]Acuerdo PLAN INVERSIÓN 2021'!$H$2199+'[5]Acuerdo PLAN INVERSIÓN 2021'!$H$2218+'[5]Acuerdo PLAN INVERSIÓN 2021'!$H$2232</f>
        <v>76929400</v>
      </c>
      <c r="DD37" s="46">
        <f t="shared" si="8"/>
        <v>0.28966015217391305</v>
      </c>
      <c r="DE37" s="44">
        <f t="shared" si="26"/>
        <v>119919303</v>
      </c>
      <c r="DF37" s="44">
        <f t="shared" si="27"/>
        <v>0</v>
      </c>
      <c r="DG37" s="44">
        <f t="shared" si="27"/>
        <v>0</v>
      </c>
      <c r="DH37" s="44">
        <f t="shared" si="27"/>
        <v>0</v>
      </c>
      <c r="DI37" s="44">
        <f t="shared" si="27"/>
        <v>0</v>
      </c>
      <c r="DJ37" s="44">
        <f t="shared" si="27"/>
        <v>0</v>
      </c>
      <c r="DK37" s="44">
        <f t="shared" si="27"/>
        <v>0</v>
      </c>
      <c r="DL37" s="44">
        <f t="shared" si="27"/>
        <v>0</v>
      </c>
      <c r="DM37" s="44">
        <f t="shared" si="27"/>
        <v>116848703</v>
      </c>
      <c r="DN37" s="44">
        <f t="shared" si="27"/>
        <v>0</v>
      </c>
      <c r="DO37" s="44">
        <f t="shared" si="27"/>
        <v>0</v>
      </c>
      <c r="DP37" s="44">
        <f t="shared" si="27"/>
        <v>0</v>
      </c>
      <c r="DQ37" s="44">
        <f t="shared" si="27"/>
        <v>0</v>
      </c>
      <c r="DR37" s="44">
        <f t="shared" si="27"/>
        <v>0</v>
      </c>
      <c r="DS37" s="44">
        <f t="shared" si="27"/>
        <v>0</v>
      </c>
      <c r="DT37" s="44">
        <f t="shared" si="27"/>
        <v>0</v>
      </c>
      <c r="DU37" s="44">
        <f t="shared" si="27"/>
        <v>0</v>
      </c>
      <c r="DV37" s="44">
        <f t="shared" si="28"/>
        <v>0</v>
      </c>
      <c r="DW37" s="44">
        <f t="shared" si="28"/>
        <v>0</v>
      </c>
      <c r="DX37" s="44">
        <f t="shared" si="28"/>
        <v>0</v>
      </c>
      <c r="DY37" s="44">
        <f t="shared" si="28"/>
        <v>0</v>
      </c>
      <c r="DZ37" s="44">
        <f t="shared" si="28"/>
        <v>0</v>
      </c>
      <c r="EA37" s="44">
        <f t="shared" si="28"/>
        <v>0</v>
      </c>
      <c r="EB37" s="44">
        <f t="shared" si="28"/>
        <v>3070600</v>
      </c>
    </row>
    <row r="38" spans="1:132" ht="33.75" customHeight="1" x14ac:dyDescent="0.25">
      <c r="A38" s="50"/>
      <c r="B38" s="84"/>
      <c r="C38" s="83" t="s">
        <v>136</v>
      </c>
      <c r="D38" s="54" t="s">
        <v>137</v>
      </c>
      <c r="E38" s="55">
        <v>410</v>
      </c>
      <c r="F38" s="56" t="s">
        <v>138</v>
      </c>
      <c r="G38" s="44">
        <f t="shared" si="20"/>
        <v>694924898</v>
      </c>
      <c r="H38" s="45">
        <f>312000000+68000000</f>
        <v>380000000</v>
      </c>
      <c r="I38" s="45">
        <f t="shared" si="29"/>
        <v>-314924898</v>
      </c>
      <c r="J38" s="44"/>
      <c r="K38" s="44"/>
      <c r="L38" s="44"/>
      <c r="M38" s="44"/>
      <c r="N38" s="44"/>
      <c r="O38" s="44"/>
      <c r="P38" s="44"/>
      <c r="Q38" s="44">
        <f>300000000+60000000-5883333</f>
        <v>354116667</v>
      </c>
      <c r="R38" s="44"/>
      <c r="S38" s="44">
        <f>65000000+65000000</f>
        <v>130000000</v>
      </c>
      <c r="T38" s="44"/>
      <c r="U38" s="44"/>
      <c r="V38" s="44"/>
      <c r="W38" s="44"/>
      <c r="X38" s="44">
        <v>44699850</v>
      </c>
      <c r="Y38" s="44"/>
      <c r="Z38" s="44"/>
      <c r="AA38" s="44"/>
      <c r="AB38" s="44"/>
      <c r="AC38" s="44"/>
      <c r="AD38" s="44"/>
      <c r="AE38" s="44"/>
      <c r="AF38" s="44">
        <f>70000000+14000000+10000000+49193553+6000000+8738094+8176734</f>
        <v>166108381</v>
      </c>
      <c r="AG38" s="46">
        <f t="shared" si="1"/>
        <v>0.51109922816436493</v>
      </c>
      <c r="AH38" s="44">
        <f t="shared" si="21"/>
        <v>355175579</v>
      </c>
      <c r="AI38" s="44"/>
      <c r="AJ38" s="44"/>
      <c r="AK38" s="44"/>
      <c r="AL38" s="44"/>
      <c r="AM38" s="44"/>
      <c r="AN38" s="44"/>
      <c r="AO38" s="44"/>
      <c r="AP38" s="44">
        <f>+'[5]Acuerdo PLAN INVERSIÓN 2021'!$S$2262</f>
        <v>247978648</v>
      </c>
      <c r="AQ38" s="44"/>
      <c r="AR38" s="44">
        <f>+'[1]Acuerdo PLAN INVERSIÓN 2021'!$U$1510</f>
        <v>13998429</v>
      </c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>
        <f>+'[6]Acuerdo PLAN INVERSIÓN 2021'!$AF$1822</f>
        <v>93198502</v>
      </c>
      <c r="BF38" s="46">
        <f t="shared" si="12"/>
        <v>0.48890077183563507</v>
      </c>
      <c r="BG38" s="44">
        <f t="shared" si="22"/>
        <v>339749319</v>
      </c>
      <c r="BH38" s="44">
        <f t="shared" si="23"/>
        <v>0</v>
      </c>
      <c r="BI38" s="44">
        <f t="shared" si="23"/>
        <v>0</v>
      </c>
      <c r="BJ38" s="44">
        <f t="shared" si="23"/>
        <v>0</v>
      </c>
      <c r="BK38" s="44">
        <f t="shared" si="23"/>
        <v>0</v>
      </c>
      <c r="BL38" s="44">
        <f t="shared" si="23"/>
        <v>0</v>
      </c>
      <c r="BM38" s="44">
        <f t="shared" si="23"/>
        <v>0</v>
      </c>
      <c r="BN38" s="44">
        <f t="shared" si="23"/>
        <v>0</v>
      </c>
      <c r="BO38" s="44">
        <f t="shared" si="23"/>
        <v>106138019</v>
      </c>
      <c r="BP38" s="44">
        <f t="shared" si="23"/>
        <v>0</v>
      </c>
      <c r="BQ38" s="44">
        <f t="shared" si="23"/>
        <v>116001571</v>
      </c>
      <c r="BR38" s="44">
        <f t="shared" si="23"/>
        <v>0</v>
      </c>
      <c r="BS38" s="44">
        <f t="shared" si="23"/>
        <v>0</v>
      </c>
      <c r="BT38" s="44">
        <f t="shared" si="23"/>
        <v>0</v>
      </c>
      <c r="BU38" s="44">
        <f t="shared" si="23"/>
        <v>0</v>
      </c>
      <c r="BV38" s="44">
        <f t="shared" si="23"/>
        <v>44699850</v>
      </c>
      <c r="BW38" s="44">
        <f t="shared" si="23"/>
        <v>0</v>
      </c>
      <c r="BX38" s="44">
        <f t="shared" si="24"/>
        <v>0</v>
      </c>
      <c r="BY38" s="44">
        <f t="shared" si="24"/>
        <v>0</v>
      </c>
      <c r="BZ38" s="44">
        <f t="shared" si="24"/>
        <v>0</v>
      </c>
      <c r="CA38" s="44">
        <f t="shared" si="24"/>
        <v>0</v>
      </c>
      <c r="CB38" s="44">
        <f t="shared" si="24"/>
        <v>0</v>
      </c>
      <c r="CC38" s="44">
        <f t="shared" si="24"/>
        <v>0</v>
      </c>
      <c r="CD38" s="44">
        <f t="shared" si="24"/>
        <v>72909879</v>
      </c>
      <c r="CE38" s="46">
        <f t="shared" si="6"/>
        <v>0.34412712609413515</v>
      </c>
      <c r="CF38" s="44">
        <f t="shared" si="25"/>
        <v>239142508</v>
      </c>
      <c r="CG38" s="44"/>
      <c r="CH38" s="44"/>
      <c r="CI38" s="44"/>
      <c r="CJ38" s="44"/>
      <c r="CK38" s="44"/>
      <c r="CL38" s="44"/>
      <c r="CM38" s="44"/>
      <c r="CN38" s="44">
        <f>+'[5]Acuerdo PLAN INVERSIÓN 2021'!$H$2260-CP38-DC38</f>
        <v>158978682</v>
      </c>
      <c r="CO38" s="44"/>
      <c r="CP38" s="44">
        <f>+'[5]Acuerdo PLAN INVERSIÓN 2021'!$H$2316+'[5]Acuerdo PLAN INVERSIÓN 2021'!$H$2319+'[5]Acuerdo PLAN INVERSIÓN 2021'!$H$2322+'[5]Acuerdo PLAN INVERSIÓN 2021'!$H$2368+'[5]Acuerdo PLAN INVERSIÓN 2021'!$H$2371+'[5]Acuerdo PLAN INVERSIÓN 2021'!$H$2404+'[5]Acuerdo PLAN INVERSIÓN 2021'!$H$2423</f>
        <v>7535729</v>
      </c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>
        <f>+'[5]Acuerdo PLAN INVERSIÓN 2021'!$H$2266+'[5]Acuerdo PLAN INVERSIÓN 2021'!$H$2297+'[5]Acuerdo PLAN INVERSIÓN 2021'!$H$2300+'[5]Acuerdo PLAN INVERSIÓN 2021'!$H$2303+'[5]Acuerdo PLAN INVERSIÓN 2021'!$H$2306+'[5]Acuerdo PLAN INVERSIÓN 2021'!$H$2309+'[5]Acuerdo PLAN INVERSIÓN 2021'!$H$2312+'[5]Acuerdo PLAN INVERSIÓN 2021'!$H$2353+'[5]Acuerdo PLAN INVERSIÓN 2021'!$H$2381+'[5]Acuerdo PLAN INVERSIÓN 2021'!$H$2398+'[5]Acuerdo PLAN INVERSIÓN 2021'!$H$2401+'[5]Acuerdo PLAN INVERSIÓN 2021'!$H$2429+'[5]Acuerdo PLAN INVERSIÓN 2021'!$H$2433</f>
        <v>72628097</v>
      </c>
      <c r="DD38" s="46">
        <f t="shared" si="8"/>
        <v>0.65587287390586479</v>
      </c>
      <c r="DE38" s="44">
        <f t="shared" si="26"/>
        <v>455782390</v>
      </c>
      <c r="DF38" s="44">
        <f t="shared" si="27"/>
        <v>0</v>
      </c>
      <c r="DG38" s="44">
        <f t="shared" si="27"/>
        <v>0</v>
      </c>
      <c r="DH38" s="44">
        <f t="shared" si="27"/>
        <v>0</v>
      </c>
      <c r="DI38" s="44">
        <f t="shared" si="27"/>
        <v>0</v>
      </c>
      <c r="DJ38" s="44">
        <f t="shared" si="27"/>
        <v>0</v>
      </c>
      <c r="DK38" s="44">
        <f t="shared" si="27"/>
        <v>0</v>
      </c>
      <c r="DL38" s="44">
        <f t="shared" si="27"/>
        <v>0</v>
      </c>
      <c r="DM38" s="44">
        <f t="shared" si="27"/>
        <v>195137985</v>
      </c>
      <c r="DN38" s="44">
        <f t="shared" si="27"/>
        <v>0</v>
      </c>
      <c r="DO38" s="44">
        <f t="shared" si="27"/>
        <v>122464271</v>
      </c>
      <c r="DP38" s="44">
        <f t="shared" si="27"/>
        <v>0</v>
      </c>
      <c r="DQ38" s="44">
        <f t="shared" si="27"/>
        <v>0</v>
      </c>
      <c r="DR38" s="44">
        <f t="shared" si="27"/>
        <v>0</v>
      </c>
      <c r="DS38" s="44">
        <f t="shared" si="27"/>
        <v>0</v>
      </c>
      <c r="DT38" s="44">
        <f t="shared" si="27"/>
        <v>44699850</v>
      </c>
      <c r="DU38" s="44">
        <f t="shared" si="27"/>
        <v>0</v>
      </c>
      <c r="DV38" s="44">
        <f t="shared" si="28"/>
        <v>0</v>
      </c>
      <c r="DW38" s="44">
        <f t="shared" si="28"/>
        <v>0</v>
      </c>
      <c r="DX38" s="44">
        <f t="shared" si="28"/>
        <v>0</v>
      </c>
      <c r="DY38" s="44">
        <f t="shared" si="28"/>
        <v>0</v>
      </c>
      <c r="DZ38" s="44">
        <f t="shared" si="28"/>
        <v>0</v>
      </c>
      <c r="EA38" s="44">
        <f t="shared" si="28"/>
        <v>0</v>
      </c>
      <c r="EB38" s="44">
        <f t="shared" si="28"/>
        <v>93480284</v>
      </c>
    </row>
    <row r="39" spans="1:132" ht="18.75" customHeight="1" x14ac:dyDescent="0.25">
      <c r="A39" s="50"/>
      <c r="B39" s="84"/>
      <c r="C39" s="40" t="s">
        <v>139</v>
      </c>
      <c r="D39" s="54" t="s">
        <v>140</v>
      </c>
      <c r="E39" s="42">
        <v>410</v>
      </c>
      <c r="F39" s="56" t="s">
        <v>102</v>
      </c>
      <c r="G39" s="44">
        <f t="shared" si="20"/>
        <v>70883333</v>
      </c>
      <c r="H39" s="45">
        <v>36000000</v>
      </c>
      <c r="I39" s="45">
        <f t="shared" si="29"/>
        <v>-34883333</v>
      </c>
      <c r="J39" s="44"/>
      <c r="K39" s="44">
        <v>30000000</v>
      </c>
      <c r="L39" s="44"/>
      <c r="M39" s="44"/>
      <c r="N39" s="44"/>
      <c r="O39" s="44"/>
      <c r="P39" s="44"/>
      <c r="Q39" s="44">
        <f>30000000+5000000+5883333</f>
        <v>40883333</v>
      </c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6">
        <f t="shared" si="1"/>
        <v>1</v>
      </c>
      <c r="AH39" s="44">
        <f t="shared" si="21"/>
        <v>70883333</v>
      </c>
      <c r="AI39" s="44"/>
      <c r="AJ39" s="44">
        <f>+'[4]Acuerdo PLAN INVERSIÓN 2021'!$J$1014</f>
        <v>30000000</v>
      </c>
      <c r="AK39" s="44"/>
      <c r="AL39" s="44"/>
      <c r="AM39" s="44"/>
      <c r="AN39" s="44"/>
      <c r="AO39" s="44"/>
      <c r="AP39" s="44">
        <f>+'[6]Acuerdo PLAN INVERSIÓN 2021'!$S$2058</f>
        <v>40883333</v>
      </c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6">
        <f t="shared" si="12"/>
        <v>0</v>
      </c>
      <c r="BG39" s="44">
        <f t="shared" si="22"/>
        <v>0</v>
      </c>
      <c r="BH39" s="44">
        <f t="shared" si="23"/>
        <v>0</v>
      </c>
      <c r="BI39" s="44">
        <f t="shared" si="23"/>
        <v>0</v>
      </c>
      <c r="BJ39" s="44">
        <f t="shared" si="23"/>
        <v>0</v>
      </c>
      <c r="BK39" s="44">
        <f t="shared" si="23"/>
        <v>0</v>
      </c>
      <c r="BL39" s="44">
        <f t="shared" si="23"/>
        <v>0</v>
      </c>
      <c r="BM39" s="44">
        <f t="shared" si="23"/>
        <v>0</v>
      </c>
      <c r="BN39" s="44">
        <f t="shared" si="23"/>
        <v>0</v>
      </c>
      <c r="BO39" s="44">
        <f t="shared" si="23"/>
        <v>0</v>
      </c>
      <c r="BP39" s="44">
        <f t="shared" si="23"/>
        <v>0</v>
      </c>
      <c r="BQ39" s="44">
        <f t="shared" si="23"/>
        <v>0</v>
      </c>
      <c r="BR39" s="44">
        <f t="shared" si="23"/>
        <v>0</v>
      </c>
      <c r="BS39" s="44">
        <f t="shared" si="23"/>
        <v>0</v>
      </c>
      <c r="BT39" s="44">
        <f t="shared" si="23"/>
        <v>0</v>
      </c>
      <c r="BU39" s="44">
        <f t="shared" si="23"/>
        <v>0</v>
      </c>
      <c r="BV39" s="44">
        <f t="shared" si="23"/>
        <v>0</v>
      </c>
      <c r="BW39" s="44">
        <f t="shared" si="23"/>
        <v>0</v>
      </c>
      <c r="BX39" s="44">
        <f t="shared" si="24"/>
        <v>0</v>
      </c>
      <c r="BY39" s="44">
        <f t="shared" si="24"/>
        <v>0</v>
      </c>
      <c r="BZ39" s="44">
        <f t="shared" si="24"/>
        <v>0</v>
      </c>
      <c r="CA39" s="44">
        <f t="shared" si="24"/>
        <v>0</v>
      </c>
      <c r="CB39" s="44">
        <f t="shared" si="24"/>
        <v>0</v>
      </c>
      <c r="CC39" s="44">
        <f t="shared" si="24"/>
        <v>0</v>
      </c>
      <c r="CD39" s="44">
        <f t="shared" si="24"/>
        <v>0</v>
      </c>
      <c r="CE39" s="46">
        <f t="shared" si="6"/>
        <v>0.99741359509717187</v>
      </c>
      <c r="CF39" s="44">
        <f t="shared" si="25"/>
        <v>70700000</v>
      </c>
      <c r="CG39" s="44"/>
      <c r="CH39" s="44">
        <f>+'[4]Acuerdo PLAN INVERSIÓN 2021'!$H$1015+'[4]Acuerdo PLAN INVERSIÓN 2021'!$H$1024</f>
        <v>30000000</v>
      </c>
      <c r="CI39" s="44"/>
      <c r="CJ39" s="44"/>
      <c r="CK39" s="44"/>
      <c r="CL39" s="44"/>
      <c r="CM39" s="44"/>
      <c r="CN39" s="44">
        <f>+'[6]Acuerdo PLAN INVERSIÓN 2021'!$H$2062+'[6]Acuerdo PLAN INVERSIÓN 2021'!$H$2065+'[6]Acuerdo PLAN INVERSIÓN 2021'!$H$2071+'[6]Acuerdo PLAN INVERSIÓN 2021'!$H$2074+'[5]Acuerdo PLAN INVERSIÓN 2021'!$H$2554</f>
        <v>40700000</v>
      </c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6">
        <f t="shared" si="8"/>
        <v>2.5864049028281322E-3</v>
      </c>
      <c r="DE39" s="44">
        <f t="shared" si="26"/>
        <v>183333</v>
      </c>
      <c r="DF39" s="44">
        <f t="shared" si="27"/>
        <v>0</v>
      </c>
      <c r="DG39" s="44">
        <f t="shared" si="27"/>
        <v>0</v>
      </c>
      <c r="DH39" s="44">
        <f t="shared" si="27"/>
        <v>0</v>
      </c>
      <c r="DI39" s="44">
        <f t="shared" si="27"/>
        <v>0</v>
      </c>
      <c r="DJ39" s="44">
        <f t="shared" si="27"/>
        <v>0</v>
      </c>
      <c r="DK39" s="44">
        <f t="shared" si="27"/>
        <v>0</v>
      </c>
      <c r="DL39" s="44">
        <f t="shared" si="27"/>
        <v>0</v>
      </c>
      <c r="DM39" s="44">
        <f t="shared" si="27"/>
        <v>183333</v>
      </c>
      <c r="DN39" s="44">
        <f t="shared" si="27"/>
        <v>0</v>
      </c>
      <c r="DO39" s="44">
        <f t="shared" si="27"/>
        <v>0</v>
      </c>
      <c r="DP39" s="44">
        <f t="shared" si="27"/>
        <v>0</v>
      </c>
      <c r="DQ39" s="44">
        <f t="shared" si="27"/>
        <v>0</v>
      </c>
      <c r="DR39" s="44">
        <f t="shared" si="27"/>
        <v>0</v>
      </c>
      <c r="DS39" s="44">
        <f t="shared" si="27"/>
        <v>0</v>
      </c>
      <c r="DT39" s="44">
        <f t="shared" si="27"/>
        <v>0</v>
      </c>
      <c r="DU39" s="44">
        <f t="shared" si="27"/>
        <v>0</v>
      </c>
      <c r="DV39" s="44">
        <f t="shared" si="28"/>
        <v>0</v>
      </c>
      <c r="DW39" s="44">
        <f t="shared" si="28"/>
        <v>0</v>
      </c>
      <c r="DX39" s="44">
        <f t="shared" si="28"/>
        <v>0</v>
      </c>
      <c r="DY39" s="44">
        <f t="shared" si="28"/>
        <v>0</v>
      </c>
      <c r="DZ39" s="44">
        <f t="shared" si="28"/>
        <v>0</v>
      </c>
      <c r="EA39" s="44">
        <f t="shared" si="28"/>
        <v>0</v>
      </c>
      <c r="EB39" s="44">
        <f t="shared" si="28"/>
        <v>0</v>
      </c>
    </row>
    <row r="40" spans="1:132" ht="27.75" customHeight="1" x14ac:dyDescent="0.25">
      <c r="A40" s="50"/>
      <c r="B40" s="84"/>
      <c r="C40" s="40" t="s">
        <v>141</v>
      </c>
      <c r="D40" s="54" t="s">
        <v>142</v>
      </c>
      <c r="E40" s="42">
        <v>410</v>
      </c>
      <c r="F40" s="56" t="s">
        <v>143</v>
      </c>
      <c r="G40" s="44">
        <f t="shared" si="20"/>
        <v>146000000</v>
      </c>
      <c r="H40" s="45">
        <v>122400000</v>
      </c>
      <c r="I40" s="45">
        <f t="shared" si="29"/>
        <v>-23600000</v>
      </c>
      <c r="J40" s="44"/>
      <c r="K40" s="44"/>
      <c r="L40" s="44"/>
      <c r="M40" s="44"/>
      <c r="N40" s="44"/>
      <c r="O40" s="44"/>
      <c r="P40" s="44"/>
      <c r="Q40" s="44">
        <f>50000000+90000000</f>
        <v>140000000</v>
      </c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>
        <f>3000000+2000000+7000000-6000000</f>
        <v>6000000</v>
      </c>
      <c r="AG40" s="46">
        <f t="shared" si="1"/>
        <v>0.59733107534246577</v>
      </c>
      <c r="AH40" s="44">
        <f t="shared" si="21"/>
        <v>87210337</v>
      </c>
      <c r="AI40" s="44"/>
      <c r="AJ40" s="44"/>
      <c r="AK40" s="44"/>
      <c r="AL40" s="44"/>
      <c r="AM40" s="44"/>
      <c r="AN40" s="44"/>
      <c r="AO40" s="44"/>
      <c r="AP40" s="44">
        <f>+'[5]Acuerdo PLAN INVERSIÓN 2021'!$S$2558</f>
        <v>81210337</v>
      </c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>
        <f>+'[5]Acuerdo PLAN INVERSIÓN 2021'!$AF$2558</f>
        <v>6000000</v>
      </c>
      <c r="BF40" s="46">
        <f t="shared" si="12"/>
        <v>0.40266892465753423</v>
      </c>
      <c r="BG40" s="44">
        <f t="shared" si="22"/>
        <v>58789663</v>
      </c>
      <c r="BH40" s="44">
        <f t="shared" si="23"/>
        <v>0</v>
      </c>
      <c r="BI40" s="44">
        <f t="shared" si="23"/>
        <v>0</v>
      </c>
      <c r="BJ40" s="44">
        <f t="shared" si="23"/>
        <v>0</v>
      </c>
      <c r="BK40" s="44">
        <f t="shared" si="23"/>
        <v>0</v>
      </c>
      <c r="BL40" s="44">
        <f t="shared" si="23"/>
        <v>0</v>
      </c>
      <c r="BM40" s="44">
        <f t="shared" si="23"/>
        <v>0</v>
      </c>
      <c r="BN40" s="44">
        <f t="shared" si="23"/>
        <v>0</v>
      </c>
      <c r="BO40" s="44">
        <f t="shared" si="23"/>
        <v>58789663</v>
      </c>
      <c r="BP40" s="44">
        <f t="shared" si="23"/>
        <v>0</v>
      </c>
      <c r="BQ40" s="44">
        <f t="shared" si="23"/>
        <v>0</v>
      </c>
      <c r="BR40" s="44">
        <f t="shared" si="23"/>
        <v>0</v>
      </c>
      <c r="BS40" s="44">
        <f t="shared" si="23"/>
        <v>0</v>
      </c>
      <c r="BT40" s="44">
        <f t="shared" si="23"/>
        <v>0</v>
      </c>
      <c r="BU40" s="44">
        <f t="shared" si="23"/>
        <v>0</v>
      </c>
      <c r="BV40" s="44">
        <f t="shared" si="23"/>
        <v>0</v>
      </c>
      <c r="BW40" s="44">
        <f t="shared" ref="BW40:BW49" si="30">+Y40-AX40</f>
        <v>0</v>
      </c>
      <c r="BX40" s="44">
        <f t="shared" si="24"/>
        <v>0</v>
      </c>
      <c r="BY40" s="44">
        <f t="shared" si="24"/>
        <v>0</v>
      </c>
      <c r="BZ40" s="44">
        <f t="shared" si="24"/>
        <v>0</v>
      </c>
      <c r="CA40" s="44">
        <f t="shared" si="24"/>
        <v>0</v>
      </c>
      <c r="CB40" s="44">
        <f t="shared" si="24"/>
        <v>0</v>
      </c>
      <c r="CC40" s="44">
        <f t="shared" si="24"/>
        <v>0</v>
      </c>
      <c r="CD40" s="44">
        <f t="shared" si="24"/>
        <v>0</v>
      </c>
      <c r="CE40" s="46">
        <f t="shared" si="6"/>
        <v>0.42719292465753422</v>
      </c>
      <c r="CF40" s="44">
        <f t="shared" si="25"/>
        <v>62370167</v>
      </c>
      <c r="CG40" s="44"/>
      <c r="CH40" s="44"/>
      <c r="CI40" s="44"/>
      <c r="CJ40" s="44"/>
      <c r="CK40" s="44"/>
      <c r="CL40" s="44"/>
      <c r="CM40" s="44"/>
      <c r="CN40" s="44">
        <f>+'[6]Acuerdo PLAN INVERSIÓN 2021'!$H$2080+'[6]Acuerdo PLAN INVERSIÓN 2021'!$H$2087+'[6]Acuerdo PLAN INVERSIÓN 2021'!$H$2099</f>
        <v>61370167</v>
      </c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>
        <f>+'[6]Acuerdo PLAN INVERSIÓN 2021'!$H$2096</f>
        <v>1000000</v>
      </c>
      <c r="DD40" s="46">
        <f t="shared" si="8"/>
        <v>0.57280707534246578</v>
      </c>
      <c r="DE40" s="44">
        <f t="shared" si="26"/>
        <v>83629833</v>
      </c>
      <c r="DF40" s="44">
        <f t="shared" si="27"/>
        <v>0</v>
      </c>
      <c r="DG40" s="44">
        <f t="shared" si="27"/>
        <v>0</v>
      </c>
      <c r="DH40" s="44">
        <f t="shared" si="27"/>
        <v>0</v>
      </c>
      <c r="DI40" s="44">
        <f t="shared" si="27"/>
        <v>0</v>
      </c>
      <c r="DJ40" s="44">
        <f t="shared" si="27"/>
        <v>0</v>
      </c>
      <c r="DK40" s="44">
        <f t="shared" si="27"/>
        <v>0</v>
      </c>
      <c r="DL40" s="44">
        <f t="shared" si="27"/>
        <v>0</v>
      </c>
      <c r="DM40" s="44">
        <f t="shared" si="27"/>
        <v>78629833</v>
      </c>
      <c r="DN40" s="44">
        <f t="shared" si="27"/>
        <v>0</v>
      </c>
      <c r="DO40" s="44">
        <f t="shared" si="27"/>
        <v>0</v>
      </c>
      <c r="DP40" s="44">
        <f t="shared" si="27"/>
        <v>0</v>
      </c>
      <c r="DQ40" s="44">
        <f t="shared" si="27"/>
        <v>0</v>
      </c>
      <c r="DR40" s="44">
        <f t="shared" si="27"/>
        <v>0</v>
      </c>
      <c r="DS40" s="44">
        <f t="shared" si="27"/>
        <v>0</v>
      </c>
      <c r="DT40" s="44">
        <f t="shared" si="27"/>
        <v>0</v>
      </c>
      <c r="DU40" s="44">
        <f t="shared" ref="DU40:DU49" si="31">+Y40-CV40</f>
        <v>0</v>
      </c>
      <c r="DV40" s="44">
        <f t="shared" si="28"/>
        <v>0</v>
      </c>
      <c r="DW40" s="44">
        <f t="shared" si="28"/>
        <v>0</v>
      </c>
      <c r="DX40" s="44">
        <f t="shared" si="28"/>
        <v>0</v>
      </c>
      <c r="DY40" s="44">
        <f t="shared" si="28"/>
        <v>0</v>
      </c>
      <c r="DZ40" s="44">
        <f t="shared" si="28"/>
        <v>0</v>
      </c>
      <c r="EA40" s="44">
        <f t="shared" si="28"/>
        <v>0</v>
      </c>
      <c r="EB40" s="44">
        <f t="shared" si="28"/>
        <v>5000000</v>
      </c>
    </row>
    <row r="41" spans="1:132" ht="31.5" customHeight="1" x14ac:dyDescent="0.25">
      <c r="A41" s="50"/>
      <c r="B41" s="84"/>
      <c r="C41" s="40" t="s">
        <v>144</v>
      </c>
      <c r="D41" s="54" t="s">
        <v>145</v>
      </c>
      <c r="E41" s="42">
        <v>410</v>
      </c>
      <c r="F41" s="56" t="s">
        <v>102</v>
      </c>
      <c r="G41" s="44">
        <f t="shared" si="20"/>
        <v>50000000</v>
      </c>
      <c r="H41" s="45">
        <v>62000000</v>
      </c>
      <c r="I41" s="45">
        <f t="shared" si="29"/>
        <v>12000000</v>
      </c>
      <c r="J41" s="44"/>
      <c r="K41" s="44"/>
      <c r="L41" s="44"/>
      <c r="M41" s="44"/>
      <c r="N41" s="44"/>
      <c r="O41" s="44"/>
      <c r="P41" s="44"/>
      <c r="Q41" s="44">
        <v>15000000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>
        <v>35000000</v>
      </c>
      <c r="AC41" s="44"/>
      <c r="AD41" s="44"/>
      <c r="AE41" s="44"/>
      <c r="AF41" s="44"/>
      <c r="AG41" s="46">
        <f t="shared" si="1"/>
        <v>0.38433334000000002</v>
      </c>
      <c r="AH41" s="44">
        <f t="shared" si="21"/>
        <v>19216667</v>
      </c>
      <c r="AI41" s="44"/>
      <c r="AJ41" s="44"/>
      <c r="AK41" s="44"/>
      <c r="AL41" s="44"/>
      <c r="AM41" s="44"/>
      <c r="AN41" s="44"/>
      <c r="AO41" s="44"/>
      <c r="AP41" s="44">
        <f>+'[10]Acuerdo PLAN INVERSIÓN 2021'!$R$275</f>
        <v>9216667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>
        <f>+'[1]Acuerdo PLAN INVERSIÓN 2021'!$Y$1748</f>
        <v>10000000</v>
      </c>
      <c r="BB41" s="44"/>
      <c r="BC41" s="44"/>
      <c r="BD41" s="44"/>
      <c r="BE41" s="44"/>
      <c r="BF41" s="46">
        <f t="shared" si="12"/>
        <v>0.61566666000000003</v>
      </c>
      <c r="BG41" s="44">
        <f t="shared" si="22"/>
        <v>30783333</v>
      </c>
      <c r="BH41" s="44">
        <f t="shared" ref="BH41:BV49" si="32">+J41-AI41</f>
        <v>0</v>
      </c>
      <c r="BI41" s="44">
        <f t="shared" si="32"/>
        <v>0</v>
      </c>
      <c r="BJ41" s="44">
        <f t="shared" si="32"/>
        <v>0</v>
      </c>
      <c r="BK41" s="44">
        <f t="shared" si="32"/>
        <v>0</v>
      </c>
      <c r="BL41" s="44">
        <f t="shared" si="32"/>
        <v>0</v>
      </c>
      <c r="BM41" s="44">
        <f t="shared" si="32"/>
        <v>0</v>
      </c>
      <c r="BN41" s="44">
        <f t="shared" si="32"/>
        <v>0</v>
      </c>
      <c r="BO41" s="44">
        <f t="shared" si="32"/>
        <v>5783333</v>
      </c>
      <c r="BP41" s="44">
        <f t="shared" si="32"/>
        <v>0</v>
      </c>
      <c r="BQ41" s="44">
        <f t="shared" si="32"/>
        <v>0</v>
      </c>
      <c r="BR41" s="44">
        <f t="shared" si="32"/>
        <v>0</v>
      </c>
      <c r="BS41" s="44">
        <f t="shared" si="32"/>
        <v>0</v>
      </c>
      <c r="BT41" s="44">
        <f t="shared" si="32"/>
        <v>0</v>
      </c>
      <c r="BU41" s="44">
        <f t="shared" si="32"/>
        <v>0</v>
      </c>
      <c r="BV41" s="44">
        <f t="shared" si="32"/>
        <v>0</v>
      </c>
      <c r="BW41" s="44">
        <f t="shared" si="30"/>
        <v>0</v>
      </c>
      <c r="BX41" s="44">
        <f t="shared" si="24"/>
        <v>0</v>
      </c>
      <c r="BY41" s="44">
        <f t="shared" si="24"/>
        <v>0</v>
      </c>
      <c r="BZ41" s="44">
        <f t="shared" si="24"/>
        <v>25000000</v>
      </c>
      <c r="CA41" s="44">
        <f t="shared" si="24"/>
        <v>0</v>
      </c>
      <c r="CB41" s="44">
        <f t="shared" si="24"/>
        <v>0</v>
      </c>
      <c r="CC41" s="44">
        <f t="shared" si="24"/>
        <v>0</v>
      </c>
      <c r="CD41" s="44">
        <f t="shared" si="24"/>
        <v>0</v>
      </c>
      <c r="CE41" s="46">
        <f t="shared" si="6"/>
        <v>0.38433331999999998</v>
      </c>
      <c r="CF41" s="44">
        <f t="shared" si="25"/>
        <v>19216666</v>
      </c>
      <c r="CG41" s="44"/>
      <c r="CH41" s="44"/>
      <c r="CI41" s="44"/>
      <c r="CJ41" s="44"/>
      <c r="CK41" s="44"/>
      <c r="CL41" s="44"/>
      <c r="CM41" s="44"/>
      <c r="CN41" s="44">
        <f>+'[10]Acuerdo PLAN INVERSIÓN 2021'!$H$273</f>
        <v>9216667</v>
      </c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>
        <f>+'[6]Acuerdo PLAN INVERSIÓN 2021'!$H$2108</f>
        <v>9999999</v>
      </c>
      <c r="CZ41" s="44"/>
      <c r="DA41" s="44"/>
      <c r="DB41" s="44"/>
      <c r="DC41" s="44"/>
      <c r="DD41" s="46">
        <f t="shared" si="8"/>
        <v>0.61566668000000002</v>
      </c>
      <c r="DE41" s="44">
        <f t="shared" si="26"/>
        <v>30783334</v>
      </c>
      <c r="DF41" s="44">
        <f t="shared" ref="DF41:DT49" si="33">+J41-CG41</f>
        <v>0</v>
      </c>
      <c r="DG41" s="44">
        <f t="shared" si="33"/>
        <v>0</v>
      </c>
      <c r="DH41" s="44">
        <f t="shared" si="33"/>
        <v>0</v>
      </c>
      <c r="DI41" s="44">
        <f t="shared" si="33"/>
        <v>0</v>
      </c>
      <c r="DJ41" s="44">
        <f t="shared" si="33"/>
        <v>0</v>
      </c>
      <c r="DK41" s="44">
        <f t="shared" si="33"/>
        <v>0</v>
      </c>
      <c r="DL41" s="44">
        <f t="shared" si="33"/>
        <v>0</v>
      </c>
      <c r="DM41" s="44">
        <f t="shared" si="33"/>
        <v>5783333</v>
      </c>
      <c r="DN41" s="44">
        <f t="shared" si="33"/>
        <v>0</v>
      </c>
      <c r="DO41" s="44">
        <f t="shared" si="33"/>
        <v>0</v>
      </c>
      <c r="DP41" s="44">
        <f t="shared" si="33"/>
        <v>0</v>
      </c>
      <c r="DQ41" s="44">
        <f t="shared" si="33"/>
        <v>0</v>
      </c>
      <c r="DR41" s="44">
        <f t="shared" si="33"/>
        <v>0</v>
      </c>
      <c r="DS41" s="44">
        <f t="shared" si="33"/>
        <v>0</v>
      </c>
      <c r="DT41" s="44">
        <f t="shared" si="33"/>
        <v>0</v>
      </c>
      <c r="DU41" s="44">
        <f t="shared" si="31"/>
        <v>0</v>
      </c>
      <c r="DV41" s="44">
        <f t="shared" si="28"/>
        <v>0</v>
      </c>
      <c r="DW41" s="44">
        <f t="shared" si="28"/>
        <v>0</v>
      </c>
      <c r="DX41" s="44">
        <f t="shared" si="28"/>
        <v>25000001</v>
      </c>
      <c r="DY41" s="44">
        <f t="shared" si="28"/>
        <v>0</v>
      </c>
      <c r="DZ41" s="44">
        <f t="shared" si="28"/>
        <v>0</v>
      </c>
      <c r="EA41" s="44">
        <f t="shared" si="28"/>
        <v>0</v>
      </c>
      <c r="EB41" s="44">
        <f t="shared" si="28"/>
        <v>0</v>
      </c>
    </row>
    <row r="42" spans="1:132" ht="21.75" customHeight="1" x14ac:dyDescent="0.25">
      <c r="A42" s="50"/>
      <c r="B42" s="84"/>
      <c r="C42" s="40" t="s">
        <v>146</v>
      </c>
      <c r="D42" s="54" t="s">
        <v>147</v>
      </c>
      <c r="E42" s="42">
        <v>410</v>
      </c>
      <c r="F42" s="56" t="s">
        <v>102</v>
      </c>
      <c r="G42" s="44">
        <f t="shared" si="20"/>
        <v>397484326</v>
      </c>
      <c r="H42" s="45">
        <v>324000000</v>
      </c>
      <c r="I42" s="45">
        <f t="shared" si="29"/>
        <v>-73484326</v>
      </c>
      <c r="J42" s="44"/>
      <c r="K42" s="44"/>
      <c r="L42" s="44"/>
      <c r="M42" s="44"/>
      <c r="N42" s="44"/>
      <c r="O42" s="44"/>
      <c r="P42" s="44"/>
      <c r="Q42" s="44">
        <f>135000000+16000000</f>
        <v>151000000</v>
      </c>
      <c r="R42" s="44"/>
      <c r="S42" s="44"/>
      <c r="T42" s="44"/>
      <c r="U42" s="44"/>
      <c r="V42" s="44"/>
      <c r="W42" s="44"/>
      <c r="X42" s="44"/>
      <c r="Y42" s="44"/>
      <c r="Z42" s="44"/>
      <c r="AA42" s="44">
        <f>266484326-20000000</f>
        <v>246484326</v>
      </c>
      <c r="AB42" s="44"/>
      <c r="AC42" s="44"/>
      <c r="AD42" s="44"/>
      <c r="AE42" s="44"/>
      <c r="AF42" s="44"/>
      <c r="AG42" s="46">
        <f t="shared" si="1"/>
        <v>0.87208155724862468</v>
      </c>
      <c r="AH42" s="44">
        <f t="shared" si="21"/>
        <v>346638750</v>
      </c>
      <c r="AI42" s="44"/>
      <c r="AJ42" s="44"/>
      <c r="AK42" s="44"/>
      <c r="AL42" s="44"/>
      <c r="AM42" s="44"/>
      <c r="AN42" s="44"/>
      <c r="AO42" s="44"/>
      <c r="AP42" s="44">
        <f>+'[1]Acuerdo PLAN INVERSIÓN 2021'!$S$1756</f>
        <v>151000000</v>
      </c>
      <c r="AQ42" s="44"/>
      <c r="AR42" s="44"/>
      <c r="AS42" s="44"/>
      <c r="AT42" s="44"/>
      <c r="AU42" s="44"/>
      <c r="AV42" s="44"/>
      <c r="AW42" s="44"/>
      <c r="AX42" s="44"/>
      <c r="AY42" s="44"/>
      <c r="AZ42" s="44">
        <f>+'[6]Acuerdo PLAN INVERSIÓN 2021'!$X$2113</f>
        <v>195638750</v>
      </c>
      <c r="BA42" s="44"/>
      <c r="BB42" s="44"/>
      <c r="BC42" s="44"/>
      <c r="BD42" s="44"/>
      <c r="BE42" s="44"/>
      <c r="BF42" s="46">
        <f t="shared" si="12"/>
        <v>0.12791844275137532</v>
      </c>
      <c r="BG42" s="44">
        <f t="shared" si="22"/>
        <v>50845576</v>
      </c>
      <c r="BH42" s="44">
        <f t="shared" si="32"/>
        <v>0</v>
      </c>
      <c r="BI42" s="44">
        <f t="shared" si="32"/>
        <v>0</v>
      </c>
      <c r="BJ42" s="44">
        <f t="shared" si="32"/>
        <v>0</v>
      </c>
      <c r="BK42" s="44">
        <f t="shared" si="32"/>
        <v>0</v>
      </c>
      <c r="BL42" s="44">
        <f t="shared" si="32"/>
        <v>0</v>
      </c>
      <c r="BM42" s="44">
        <f t="shared" si="32"/>
        <v>0</v>
      </c>
      <c r="BN42" s="44">
        <f t="shared" si="32"/>
        <v>0</v>
      </c>
      <c r="BO42" s="44">
        <f t="shared" si="32"/>
        <v>0</v>
      </c>
      <c r="BP42" s="44">
        <f t="shared" si="32"/>
        <v>0</v>
      </c>
      <c r="BQ42" s="44">
        <f t="shared" si="32"/>
        <v>0</v>
      </c>
      <c r="BR42" s="44">
        <f t="shared" si="32"/>
        <v>0</v>
      </c>
      <c r="BS42" s="44">
        <f t="shared" si="32"/>
        <v>0</v>
      </c>
      <c r="BT42" s="44">
        <f t="shared" si="32"/>
        <v>0</v>
      </c>
      <c r="BU42" s="44">
        <f t="shared" si="32"/>
        <v>0</v>
      </c>
      <c r="BV42" s="44">
        <f t="shared" si="32"/>
        <v>0</v>
      </c>
      <c r="BW42" s="44">
        <f t="shared" si="30"/>
        <v>0</v>
      </c>
      <c r="BX42" s="44">
        <f t="shared" si="24"/>
        <v>0</v>
      </c>
      <c r="BY42" s="44">
        <f t="shared" si="24"/>
        <v>50845576</v>
      </c>
      <c r="BZ42" s="44">
        <f t="shared" si="24"/>
        <v>0</v>
      </c>
      <c r="CA42" s="44">
        <f t="shared" si="24"/>
        <v>0</v>
      </c>
      <c r="CB42" s="44">
        <f t="shared" si="24"/>
        <v>0</v>
      </c>
      <c r="CC42" s="44">
        <f t="shared" si="24"/>
        <v>0</v>
      </c>
      <c r="CD42" s="44">
        <f t="shared" si="24"/>
        <v>0</v>
      </c>
      <c r="CE42" s="46">
        <f t="shared" si="6"/>
        <v>0.7953624490843445</v>
      </c>
      <c r="CF42" s="44">
        <f t="shared" si="25"/>
        <v>316144107</v>
      </c>
      <c r="CG42" s="44"/>
      <c r="CH42" s="44"/>
      <c r="CI42" s="44"/>
      <c r="CJ42" s="44"/>
      <c r="CK42" s="44"/>
      <c r="CL42" s="44"/>
      <c r="CM42" s="44"/>
      <c r="CN42" s="44">
        <f>+'[5]Acuerdo PLAN INVERSIÓN 2021'!$H$2597+'[5]Acuerdo PLAN INVERSIÓN 2021'!$H$2600+'[5]Acuerdo PLAN INVERSIÓN 2021'!$H$2604+'[5]Acuerdo PLAN INVERSIÓN 2021'!$H$2607+'[5]Acuerdo PLAN INVERSIÓN 2021'!$H$2611+'[5]Acuerdo PLAN INVERSIÓN 2021'!$H$2614+'[5]Acuerdo PLAN INVERSIÓN 2021'!$H$2619+'[5]Acuerdo PLAN INVERSIÓN 2021'!$H$2622+'[5]Acuerdo PLAN INVERSIÓN 2021'!$H$2653</f>
        <v>146825695</v>
      </c>
      <c r="CO42" s="44"/>
      <c r="CP42" s="44"/>
      <c r="CQ42" s="44"/>
      <c r="CR42" s="44"/>
      <c r="CS42" s="44"/>
      <c r="CT42" s="44"/>
      <c r="CU42" s="44"/>
      <c r="CV42" s="44"/>
      <c r="CW42" s="44"/>
      <c r="CX42" s="44">
        <f>+'[5]Acuerdo PLAN INVERSIÓN 2021'!$H$2594-CN42</f>
        <v>169318412</v>
      </c>
      <c r="CY42" s="44"/>
      <c r="CZ42" s="44"/>
      <c r="DA42" s="44"/>
      <c r="DB42" s="44"/>
      <c r="DC42" s="44"/>
      <c r="DD42" s="46">
        <f t="shared" si="8"/>
        <v>0.2046375509156555</v>
      </c>
      <c r="DE42" s="44">
        <f t="shared" si="26"/>
        <v>81340219</v>
      </c>
      <c r="DF42" s="44">
        <f t="shared" si="33"/>
        <v>0</v>
      </c>
      <c r="DG42" s="44">
        <f t="shared" si="33"/>
        <v>0</v>
      </c>
      <c r="DH42" s="44">
        <f t="shared" si="33"/>
        <v>0</v>
      </c>
      <c r="DI42" s="44">
        <f t="shared" si="33"/>
        <v>0</v>
      </c>
      <c r="DJ42" s="44">
        <f t="shared" si="33"/>
        <v>0</v>
      </c>
      <c r="DK42" s="44">
        <f t="shared" si="33"/>
        <v>0</v>
      </c>
      <c r="DL42" s="44">
        <f t="shared" si="33"/>
        <v>0</v>
      </c>
      <c r="DM42" s="44">
        <f t="shared" si="33"/>
        <v>4174305</v>
      </c>
      <c r="DN42" s="44">
        <f t="shared" si="33"/>
        <v>0</v>
      </c>
      <c r="DO42" s="44">
        <f t="shared" si="33"/>
        <v>0</v>
      </c>
      <c r="DP42" s="44">
        <f t="shared" si="33"/>
        <v>0</v>
      </c>
      <c r="DQ42" s="44">
        <f t="shared" si="33"/>
        <v>0</v>
      </c>
      <c r="DR42" s="44">
        <f t="shared" si="33"/>
        <v>0</v>
      </c>
      <c r="DS42" s="44">
        <f t="shared" si="33"/>
        <v>0</v>
      </c>
      <c r="DT42" s="44">
        <f t="shared" si="33"/>
        <v>0</v>
      </c>
      <c r="DU42" s="44">
        <f t="shared" si="31"/>
        <v>0</v>
      </c>
      <c r="DV42" s="44">
        <f t="shared" si="28"/>
        <v>0</v>
      </c>
      <c r="DW42" s="44">
        <f t="shared" si="28"/>
        <v>77165914</v>
      </c>
      <c r="DX42" s="44">
        <f t="shared" si="28"/>
        <v>0</v>
      </c>
      <c r="DY42" s="44">
        <f t="shared" si="28"/>
        <v>0</v>
      </c>
      <c r="DZ42" s="44">
        <f t="shared" si="28"/>
        <v>0</v>
      </c>
      <c r="EA42" s="44">
        <f t="shared" si="28"/>
        <v>0</v>
      </c>
      <c r="EB42" s="44">
        <f t="shared" si="28"/>
        <v>0</v>
      </c>
    </row>
    <row r="43" spans="1:132" ht="21" customHeight="1" x14ac:dyDescent="0.25">
      <c r="A43" s="50"/>
      <c r="B43" s="84"/>
      <c r="C43" s="40" t="s">
        <v>148</v>
      </c>
      <c r="D43" s="54" t="s">
        <v>149</v>
      </c>
      <c r="E43" s="42">
        <v>410</v>
      </c>
      <c r="F43" s="56" t="s">
        <v>150</v>
      </c>
      <c r="G43" s="44">
        <f t="shared" si="20"/>
        <v>700996742</v>
      </c>
      <c r="H43" s="45">
        <v>800000000</v>
      </c>
      <c r="I43" s="45">
        <f t="shared" si="29"/>
        <v>99003258</v>
      </c>
      <c r="J43" s="44"/>
      <c r="K43" s="44">
        <v>100000000</v>
      </c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>
        <v>110000000</v>
      </c>
      <c r="AB43" s="44"/>
      <c r="AC43" s="44"/>
      <c r="AD43" s="44">
        <f>23477088+125613658+7274332+7900227+86506451+49870081+143707904+31647001</f>
        <v>475996742</v>
      </c>
      <c r="AE43" s="44"/>
      <c r="AF43" s="44">
        <f>15000000+10000000-10000000</f>
        <v>15000000</v>
      </c>
      <c r="AG43" s="46">
        <f t="shared" si="1"/>
        <v>0.9293647330532101</v>
      </c>
      <c r="AH43" s="44">
        <f t="shared" si="21"/>
        <v>651481650</v>
      </c>
      <c r="AI43" s="44"/>
      <c r="AJ43" s="44">
        <f>+'[6]Acuerdo PLAN INVERSIÓN 2021'!$J$2182</f>
        <v>92101241</v>
      </c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>
        <f>+'[2]Acuerdo PLAN INVERSIÓN 2021'!$X$1507</f>
        <v>76613000</v>
      </c>
      <c r="BA43" s="44"/>
      <c r="BB43" s="44"/>
      <c r="BC43" s="44">
        <f>+'[5]Acuerdo PLAN INVERSIÓN 2021'!$AC$2669</f>
        <v>467767409</v>
      </c>
      <c r="BD43" s="44"/>
      <c r="BE43" s="44">
        <f>+'[4]Acuerdo PLAN INVERSIÓN 2021'!$AF$1109</f>
        <v>15000000</v>
      </c>
      <c r="BF43" s="46">
        <f t="shared" si="12"/>
        <v>7.0635266946789899E-2</v>
      </c>
      <c r="BG43" s="44">
        <f t="shared" si="22"/>
        <v>49515092</v>
      </c>
      <c r="BH43" s="44">
        <f t="shared" si="32"/>
        <v>0</v>
      </c>
      <c r="BI43" s="44">
        <f t="shared" si="32"/>
        <v>7898759</v>
      </c>
      <c r="BJ43" s="44">
        <f t="shared" si="32"/>
        <v>0</v>
      </c>
      <c r="BK43" s="44">
        <f t="shared" si="32"/>
        <v>0</v>
      </c>
      <c r="BL43" s="44">
        <f t="shared" si="32"/>
        <v>0</v>
      </c>
      <c r="BM43" s="44">
        <f t="shared" si="32"/>
        <v>0</v>
      </c>
      <c r="BN43" s="44">
        <f t="shared" si="32"/>
        <v>0</v>
      </c>
      <c r="BO43" s="44">
        <f t="shared" si="32"/>
        <v>0</v>
      </c>
      <c r="BP43" s="44">
        <f t="shared" si="32"/>
        <v>0</v>
      </c>
      <c r="BQ43" s="44">
        <f t="shared" si="32"/>
        <v>0</v>
      </c>
      <c r="BR43" s="44">
        <f t="shared" si="32"/>
        <v>0</v>
      </c>
      <c r="BS43" s="44">
        <f t="shared" si="32"/>
        <v>0</v>
      </c>
      <c r="BT43" s="44">
        <f t="shared" si="32"/>
        <v>0</v>
      </c>
      <c r="BU43" s="44">
        <f t="shared" si="32"/>
        <v>0</v>
      </c>
      <c r="BV43" s="44">
        <f t="shared" si="32"/>
        <v>0</v>
      </c>
      <c r="BW43" s="44">
        <f t="shared" si="30"/>
        <v>0</v>
      </c>
      <c r="BX43" s="44">
        <f t="shared" si="24"/>
        <v>0</v>
      </c>
      <c r="BY43" s="44">
        <f t="shared" si="24"/>
        <v>33387000</v>
      </c>
      <c r="BZ43" s="44">
        <f t="shared" si="24"/>
        <v>0</v>
      </c>
      <c r="CA43" s="44">
        <f t="shared" si="24"/>
        <v>0</v>
      </c>
      <c r="CB43" s="44">
        <f t="shared" si="24"/>
        <v>8229333</v>
      </c>
      <c r="CC43" s="44">
        <f t="shared" si="24"/>
        <v>0</v>
      </c>
      <c r="CD43" s="44">
        <f t="shared" si="24"/>
        <v>0</v>
      </c>
      <c r="CE43" s="46">
        <f t="shared" si="6"/>
        <v>0.66903981702100412</v>
      </c>
      <c r="CF43" s="44">
        <f t="shared" si="25"/>
        <v>468994732</v>
      </c>
      <c r="CG43" s="44"/>
      <c r="CH43" s="44">
        <f>+'[5]Acuerdo PLAN INVERSIÓN 2021'!$H$2674+'[5]Acuerdo PLAN INVERSIÓN 2021'!$H$2719+'[5]Acuerdo PLAN INVERSIÓN 2021'!$H$2724+'[5]Acuerdo PLAN INVERSIÓN 2021'!$H$2730+'[5]Acuerdo PLAN INVERSIÓN 2021'!$H$2736+'[5]Acuerdo PLAN INVERSIÓN 2021'!$H$2831+'[5]Acuerdo PLAN INVERSIÓN 2021'!$H$2840</f>
        <v>77540269</v>
      </c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>
        <f>+'[5]Acuerdo PLAN INVERSIÓN 2021'!$H$2749+'[5]Acuerdo PLAN INVERSIÓN 2021'!$H$2756+'[5]Acuerdo PLAN INVERSIÓN 2021'!$H$2764+'[5]Acuerdo PLAN INVERSIÓN 2021'!$H$2768+'[5]Acuerdo PLAN INVERSIÓN 2021'!$H$2777+'[5]Acuerdo PLAN INVERSIÓN 2021'!$H$2780+'[5]Acuerdo PLAN INVERSIÓN 2021'!$H$2820+'[5]Acuerdo PLAN INVERSIÓN 2021'!$H$2824+'[5]Acuerdo PLAN INVERSIÓN 2021'!$H$2852+'[5]Acuerdo PLAN INVERSIÓN 2021'!$H$2876</f>
        <v>64982073</v>
      </c>
      <c r="CY43" s="44"/>
      <c r="CZ43" s="44"/>
      <c r="DA43" s="44">
        <f>+'[5]Acuerdo PLAN INVERSIÓN 2021'!$H$2667-CX43-CH43-DC43</f>
        <v>311472790</v>
      </c>
      <c r="DB43" s="44"/>
      <c r="DC43" s="44">
        <f>+'[1]Acuerdo PLAN INVERSIÓN 2021'!$H$1928</f>
        <v>14999600</v>
      </c>
      <c r="DD43" s="46">
        <f t="shared" si="8"/>
        <v>0.33096018297899588</v>
      </c>
      <c r="DE43" s="44">
        <f t="shared" si="26"/>
        <v>232002010</v>
      </c>
      <c r="DF43" s="44">
        <f t="shared" si="33"/>
        <v>0</v>
      </c>
      <c r="DG43" s="44">
        <f t="shared" si="33"/>
        <v>22459731</v>
      </c>
      <c r="DH43" s="44">
        <f t="shared" si="33"/>
        <v>0</v>
      </c>
      <c r="DI43" s="44">
        <f t="shared" si="33"/>
        <v>0</v>
      </c>
      <c r="DJ43" s="44">
        <f t="shared" si="33"/>
        <v>0</v>
      </c>
      <c r="DK43" s="44">
        <f t="shared" si="33"/>
        <v>0</v>
      </c>
      <c r="DL43" s="44">
        <f t="shared" si="33"/>
        <v>0</v>
      </c>
      <c r="DM43" s="44">
        <f t="shared" si="33"/>
        <v>0</v>
      </c>
      <c r="DN43" s="44">
        <f t="shared" si="33"/>
        <v>0</v>
      </c>
      <c r="DO43" s="44">
        <f t="shared" si="33"/>
        <v>0</v>
      </c>
      <c r="DP43" s="44">
        <f t="shared" si="33"/>
        <v>0</v>
      </c>
      <c r="DQ43" s="44">
        <f t="shared" si="33"/>
        <v>0</v>
      </c>
      <c r="DR43" s="44">
        <f t="shared" si="33"/>
        <v>0</v>
      </c>
      <c r="DS43" s="44">
        <f t="shared" si="33"/>
        <v>0</v>
      </c>
      <c r="DT43" s="44">
        <f t="shared" si="33"/>
        <v>0</v>
      </c>
      <c r="DU43" s="44">
        <f t="shared" si="31"/>
        <v>0</v>
      </c>
      <c r="DV43" s="44">
        <f t="shared" si="28"/>
        <v>0</v>
      </c>
      <c r="DW43" s="44">
        <f t="shared" si="28"/>
        <v>45017927</v>
      </c>
      <c r="DX43" s="44">
        <f t="shared" si="28"/>
        <v>0</v>
      </c>
      <c r="DY43" s="44">
        <f t="shared" si="28"/>
        <v>0</v>
      </c>
      <c r="DZ43" s="44">
        <f t="shared" si="28"/>
        <v>164523952</v>
      </c>
      <c r="EA43" s="44">
        <f t="shared" si="28"/>
        <v>0</v>
      </c>
      <c r="EB43" s="44">
        <f t="shared" si="28"/>
        <v>400</v>
      </c>
    </row>
    <row r="44" spans="1:132" ht="20.25" customHeight="1" x14ac:dyDescent="0.25">
      <c r="A44" s="50"/>
      <c r="B44" s="77" t="s">
        <v>151</v>
      </c>
      <c r="C44" s="40" t="s">
        <v>152</v>
      </c>
      <c r="D44" s="54" t="s">
        <v>153</v>
      </c>
      <c r="E44" s="42">
        <v>410</v>
      </c>
      <c r="F44" s="56" t="s">
        <v>102</v>
      </c>
      <c r="G44" s="44">
        <f t="shared" si="20"/>
        <v>30000000</v>
      </c>
      <c r="H44" s="45">
        <v>56000000</v>
      </c>
      <c r="I44" s="45">
        <f t="shared" si="29"/>
        <v>26000000</v>
      </c>
      <c r="J44" s="44"/>
      <c r="K44" s="44">
        <v>30000000</v>
      </c>
      <c r="L44" s="44"/>
      <c r="M44" s="44"/>
      <c r="N44" s="44"/>
      <c r="O44" s="44"/>
      <c r="P44" s="44"/>
      <c r="Q44" s="44">
        <f>25000000-25000000</f>
        <v>0</v>
      </c>
      <c r="R44" s="44"/>
      <c r="S44" s="44"/>
      <c r="T44" s="44"/>
      <c r="U44" s="44">
        <f>20000000-20000000</f>
        <v>0</v>
      </c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6">
        <f t="shared" si="1"/>
        <v>0.98595923333333335</v>
      </c>
      <c r="AH44" s="44">
        <f t="shared" si="21"/>
        <v>29578777</v>
      </c>
      <c r="AI44" s="44"/>
      <c r="AJ44" s="44">
        <f>+'[6]Acuerdo PLAN INVERSIÓN 2021'!$J$2369</f>
        <v>29578777</v>
      </c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6">
        <f t="shared" si="12"/>
        <v>1.4040766666666649E-2</v>
      </c>
      <c r="BG44" s="44">
        <f t="shared" si="22"/>
        <v>421223</v>
      </c>
      <c r="BH44" s="44">
        <f t="shared" si="32"/>
        <v>0</v>
      </c>
      <c r="BI44" s="44">
        <f t="shared" si="32"/>
        <v>421223</v>
      </c>
      <c r="BJ44" s="44">
        <f t="shared" si="32"/>
        <v>0</v>
      </c>
      <c r="BK44" s="44">
        <f t="shared" si="32"/>
        <v>0</v>
      </c>
      <c r="BL44" s="44">
        <f t="shared" si="32"/>
        <v>0</v>
      </c>
      <c r="BM44" s="44">
        <f t="shared" si="32"/>
        <v>0</v>
      </c>
      <c r="BN44" s="44">
        <f t="shared" si="32"/>
        <v>0</v>
      </c>
      <c r="BO44" s="44">
        <f t="shared" si="32"/>
        <v>0</v>
      </c>
      <c r="BP44" s="44">
        <f t="shared" si="32"/>
        <v>0</v>
      </c>
      <c r="BQ44" s="44">
        <f t="shared" si="32"/>
        <v>0</v>
      </c>
      <c r="BR44" s="44">
        <f t="shared" si="32"/>
        <v>0</v>
      </c>
      <c r="BS44" s="44">
        <f t="shared" si="32"/>
        <v>0</v>
      </c>
      <c r="BT44" s="44">
        <f t="shared" si="32"/>
        <v>0</v>
      </c>
      <c r="BU44" s="44">
        <f t="shared" si="32"/>
        <v>0</v>
      </c>
      <c r="BV44" s="44">
        <f t="shared" si="32"/>
        <v>0</v>
      </c>
      <c r="BW44" s="44">
        <f t="shared" si="30"/>
        <v>0</v>
      </c>
      <c r="BX44" s="44">
        <f t="shared" si="24"/>
        <v>0</v>
      </c>
      <c r="BY44" s="44">
        <f t="shared" si="24"/>
        <v>0</v>
      </c>
      <c r="BZ44" s="44">
        <f t="shared" si="24"/>
        <v>0</v>
      </c>
      <c r="CA44" s="44">
        <f t="shared" si="24"/>
        <v>0</v>
      </c>
      <c r="CB44" s="44">
        <f t="shared" si="24"/>
        <v>0</v>
      </c>
      <c r="CC44" s="44">
        <f t="shared" si="24"/>
        <v>0</v>
      </c>
      <c r="CD44" s="44">
        <f t="shared" si="24"/>
        <v>0</v>
      </c>
      <c r="CE44" s="46">
        <f t="shared" si="6"/>
        <v>0.96874470000000001</v>
      </c>
      <c r="CF44" s="44">
        <f t="shared" si="25"/>
        <v>29062341</v>
      </c>
      <c r="CG44" s="44"/>
      <c r="CH44" s="44">
        <f>+'[6]Acuerdo PLAN INVERSIÓN 2021'!$H$2367+'[5]Acuerdo PLAN INVERSIÓN 2021'!$H$2898</f>
        <v>29062341</v>
      </c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6">
        <f t="shared" si="8"/>
        <v>3.1255299999999986E-2</v>
      </c>
      <c r="DE44" s="44">
        <f t="shared" si="26"/>
        <v>937659</v>
      </c>
      <c r="DF44" s="44">
        <f t="shared" si="33"/>
        <v>0</v>
      </c>
      <c r="DG44" s="44">
        <f t="shared" si="33"/>
        <v>937659</v>
      </c>
      <c r="DH44" s="44">
        <f t="shared" si="33"/>
        <v>0</v>
      </c>
      <c r="DI44" s="44">
        <f t="shared" si="33"/>
        <v>0</v>
      </c>
      <c r="DJ44" s="44">
        <f t="shared" si="33"/>
        <v>0</v>
      </c>
      <c r="DK44" s="44">
        <f t="shared" si="33"/>
        <v>0</v>
      </c>
      <c r="DL44" s="44">
        <f t="shared" si="33"/>
        <v>0</v>
      </c>
      <c r="DM44" s="44">
        <f t="shared" si="33"/>
        <v>0</v>
      </c>
      <c r="DN44" s="44">
        <f t="shared" si="33"/>
        <v>0</v>
      </c>
      <c r="DO44" s="44">
        <f t="shared" si="33"/>
        <v>0</v>
      </c>
      <c r="DP44" s="44">
        <f t="shared" si="33"/>
        <v>0</v>
      </c>
      <c r="DQ44" s="44">
        <f t="shared" si="33"/>
        <v>0</v>
      </c>
      <c r="DR44" s="44">
        <f t="shared" si="33"/>
        <v>0</v>
      </c>
      <c r="DS44" s="44">
        <f t="shared" si="33"/>
        <v>0</v>
      </c>
      <c r="DT44" s="44">
        <f t="shared" si="33"/>
        <v>0</v>
      </c>
      <c r="DU44" s="44">
        <f t="shared" si="31"/>
        <v>0</v>
      </c>
      <c r="DV44" s="44">
        <f t="shared" si="28"/>
        <v>0</v>
      </c>
      <c r="DW44" s="44">
        <f t="shared" si="28"/>
        <v>0</v>
      </c>
      <c r="DX44" s="44">
        <f t="shared" si="28"/>
        <v>0</v>
      </c>
      <c r="DY44" s="44">
        <f t="shared" si="28"/>
        <v>0</v>
      </c>
      <c r="DZ44" s="44">
        <f t="shared" si="28"/>
        <v>0</v>
      </c>
      <c r="EA44" s="44">
        <f t="shared" si="28"/>
        <v>0</v>
      </c>
      <c r="EB44" s="44">
        <f t="shared" si="28"/>
        <v>0</v>
      </c>
    </row>
    <row r="45" spans="1:132" ht="21.75" customHeight="1" x14ac:dyDescent="0.25">
      <c r="A45" s="50"/>
      <c r="B45" s="81"/>
      <c r="C45" s="40" t="s">
        <v>154</v>
      </c>
      <c r="D45" s="54" t="s">
        <v>155</v>
      </c>
      <c r="E45" s="42">
        <v>410</v>
      </c>
      <c r="F45" s="56" t="s">
        <v>102</v>
      </c>
      <c r="G45" s="44">
        <f t="shared" si="20"/>
        <v>30000000</v>
      </c>
      <c r="H45" s="45">
        <v>50000000</v>
      </c>
      <c r="I45" s="45">
        <f t="shared" si="29"/>
        <v>20000000</v>
      </c>
      <c r="J45" s="44"/>
      <c r="K45" s="44">
        <f>20000000-20000000</f>
        <v>0</v>
      </c>
      <c r="L45" s="44"/>
      <c r="M45" s="44"/>
      <c r="N45" s="44"/>
      <c r="O45" s="44"/>
      <c r="P45" s="44"/>
      <c r="Q45" s="44">
        <v>30000000</v>
      </c>
      <c r="R45" s="44"/>
      <c r="S45" s="44"/>
      <c r="T45" s="44"/>
      <c r="U45" s="44">
        <f>38135548-38135548</f>
        <v>0</v>
      </c>
      <c r="V45" s="44"/>
      <c r="W45" s="44"/>
      <c r="X45" s="44"/>
      <c r="Y45" s="44"/>
      <c r="Z45" s="44"/>
      <c r="AA45" s="44"/>
      <c r="AB45" s="87"/>
      <c r="AC45" s="44"/>
      <c r="AD45" s="44"/>
      <c r="AE45" s="44"/>
      <c r="AF45" s="44"/>
      <c r="AG45" s="46">
        <f t="shared" si="1"/>
        <v>0.21666666666666667</v>
      </c>
      <c r="AH45" s="44">
        <f t="shared" si="21"/>
        <v>6500000</v>
      </c>
      <c r="AI45" s="44"/>
      <c r="AJ45" s="44"/>
      <c r="AK45" s="44"/>
      <c r="AL45" s="44"/>
      <c r="AM45" s="44"/>
      <c r="AN45" s="44"/>
      <c r="AO45" s="44"/>
      <c r="AP45" s="44">
        <f>+'[5]Acuerdo PLAN INVERSIÓN 2021'!$S$2903</f>
        <v>6500000</v>
      </c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6">
        <f t="shared" si="12"/>
        <v>0.78333333333333333</v>
      </c>
      <c r="BG45" s="44">
        <f t="shared" si="22"/>
        <v>23500000</v>
      </c>
      <c r="BH45" s="44">
        <f t="shared" si="32"/>
        <v>0</v>
      </c>
      <c r="BI45" s="44">
        <f t="shared" si="32"/>
        <v>0</v>
      </c>
      <c r="BJ45" s="44">
        <f t="shared" si="32"/>
        <v>0</v>
      </c>
      <c r="BK45" s="44">
        <f t="shared" si="32"/>
        <v>0</v>
      </c>
      <c r="BL45" s="44">
        <f t="shared" si="32"/>
        <v>0</v>
      </c>
      <c r="BM45" s="44">
        <f t="shared" si="32"/>
        <v>0</v>
      </c>
      <c r="BN45" s="44">
        <f t="shared" si="32"/>
        <v>0</v>
      </c>
      <c r="BO45" s="44">
        <f t="shared" si="32"/>
        <v>23500000</v>
      </c>
      <c r="BP45" s="44">
        <f t="shared" si="32"/>
        <v>0</v>
      </c>
      <c r="BQ45" s="44">
        <f t="shared" si="32"/>
        <v>0</v>
      </c>
      <c r="BR45" s="44">
        <f t="shared" si="32"/>
        <v>0</v>
      </c>
      <c r="BS45" s="44">
        <f t="shared" si="32"/>
        <v>0</v>
      </c>
      <c r="BT45" s="44">
        <f t="shared" si="32"/>
        <v>0</v>
      </c>
      <c r="BU45" s="44">
        <f t="shared" si="32"/>
        <v>0</v>
      </c>
      <c r="BV45" s="44">
        <f t="shared" si="32"/>
        <v>0</v>
      </c>
      <c r="BW45" s="44">
        <f t="shared" si="30"/>
        <v>0</v>
      </c>
      <c r="BX45" s="44">
        <f t="shared" si="24"/>
        <v>0</v>
      </c>
      <c r="BY45" s="44">
        <f t="shared" si="24"/>
        <v>0</v>
      </c>
      <c r="BZ45" s="44">
        <f t="shared" si="24"/>
        <v>0</v>
      </c>
      <c r="CA45" s="44">
        <f t="shared" si="24"/>
        <v>0</v>
      </c>
      <c r="CB45" s="44">
        <f t="shared" si="24"/>
        <v>0</v>
      </c>
      <c r="CC45" s="44">
        <f t="shared" si="24"/>
        <v>0</v>
      </c>
      <c r="CD45" s="44">
        <f t="shared" si="24"/>
        <v>0</v>
      </c>
      <c r="CE45" s="46">
        <f t="shared" si="6"/>
        <v>9.5779666666666666E-2</v>
      </c>
      <c r="CF45" s="44">
        <f t="shared" si="25"/>
        <v>2873390</v>
      </c>
      <c r="CG45" s="44"/>
      <c r="CH45" s="44"/>
      <c r="CI45" s="44"/>
      <c r="CJ45" s="44"/>
      <c r="CK45" s="44"/>
      <c r="CL45" s="44"/>
      <c r="CM45" s="44"/>
      <c r="CN45" s="44">
        <f>+'[5]Acuerdo PLAN INVERSIÓN 2021'!$H$2901</f>
        <v>2873390</v>
      </c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6">
        <f t="shared" si="8"/>
        <v>0.90422033333333329</v>
      </c>
      <c r="DE45" s="44">
        <f t="shared" si="26"/>
        <v>27126610</v>
      </c>
      <c r="DF45" s="44">
        <f t="shared" si="33"/>
        <v>0</v>
      </c>
      <c r="DG45" s="44">
        <f t="shared" si="33"/>
        <v>0</v>
      </c>
      <c r="DH45" s="44">
        <f t="shared" si="33"/>
        <v>0</v>
      </c>
      <c r="DI45" s="44">
        <f t="shared" si="33"/>
        <v>0</v>
      </c>
      <c r="DJ45" s="44">
        <f t="shared" si="33"/>
        <v>0</v>
      </c>
      <c r="DK45" s="44">
        <f t="shared" si="33"/>
        <v>0</v>
      </c>
      <c r="DL45" s="44">
        <f t="shared" si="33"/>
        <v>0</v>
      </c>
      <c r="DM45" s="44">
        <f t="shared" si="33"/>
        <v>27126610</v>
      </c>
      <c r="DN45" s="44">
        <f t="shared" si="33"/>
        <v>0</v>
      </c>
      <c r="DO45" s="44">
        <f t="shared" si="33"/>
        <v>0</v>
      </c>
      <c r="DP45" s="44">
        <f t="shared" si="33"/>
        <v>0</v>
      </c>
      <c r="DQ45" s="44">
        <f t="shared" si="33"/>
        <v>0</v>
      </c>
      <c r="DR45" s="44">
        <f t="shared" si="33"/>
        <v>0</v>
      </c>
      <c r="DS45" s="44">
        <f t="shared" si="33"/>
        <v>0</v>
      </c>
      <c r="DT45" s="44">
        <f t="shared" si="33"/>
        <v>0</v>
      </c>
      <c r="DU45" s="44">
        <f t="shared" si="31"/>
        <v>0</v>
      </c>
      <c r="DV45" s="44">
        <f t="shared" si="28"/>
        <v>0</v>
      </c>
      <c r="DW45" s="44">
        <f t="shared" si="28"/>
        <v>0</v>
      </c>
      <c r="DX45" s="44">
        <f t="shared" si="28"/>
        <v>0</v>
      </c>
      <c r="DY45" s="44">
        <f t="shared" si="28"/>
        <v>0</v>
      </c>
      <c r="DZ45" s="44">
        <f t="shared" si="28"/>
        <v>0</v>
      </c>
      <c r="EA45" s="44">
        <f t="shared" si="28"/>
        <v>0</v>
      </c>
      <c r="EB45" s="44">
        <f t="shared" si="28"/>
        <v>0</v>
      </c>
    </row>
    <row r="46" spans="1:132" ht="46.9" customHeight="1" x14ac:dyDescent="0.25">
      <c r="A46" s="50"/>
      <c r="B46" s="57" t="s">
        <v>156</v>
      </c>
      <c r="C46" s="40" t="s">
        <v>157</v>
      </c>
      <c r="D46" s="41" t="s">
        <v>158</v>
      </c>
      <c r="E46" s="42">
        <v>410</v>
      </c>
      <c r="F46" s="56" t="s">
        <v>102</v>
      </c>
      <c r="G46" s="44">
        <f t="shared" si="20"/>
        <v>2983654075</v>
      </c>
      <c r="H46" s="45">
        <v>2200000000</v>
      </c>
      <c r="I46" s="45">
        <f t="shared" si="29"/>
        <v>-783654075</v>
      </c>
      <c r="J46" s="44"/>
      <c r="K46" s="44">
        <v>7989917</v>
      </c>
      <c r="L46" s="44"/>
      <c r="M46" s="44"/>
      <c r="N46" s="44"/>
      <c r="O46" s="44"/>
      <c r="P46" s="44"/>
      <c r="Q46" s="44">
        <v>25000000</v>
      </c>
      <c r="R46" s="44"/>
      <c r="S46" s="44"/>
      <c r="T46" s="44"/>
      <c r="U46" s="44"/>
      <c r="V46" s="44"/>
      <c r="W46" s="44"/>
      <c r="X46" s="44"/>
      <c r="Y46" s="44">
        <f>3500000000+684779075-1250000000-74625000</f>
        <v>2860154075</v>
      </c>
      <c r="Z46" s="44"/>
      <c r="AA46" s="44">
        <v>73500000</v>
      </c>
      <c r="AB46" s="44">
        <v>17010083</v>
      </c>
      <c r="AC46" s="44"/>
      <c r="AD46" s="44"/>
      <c r="AE46" s="44"/>
      <c r="AF46" s="44"/>
      <c r="AG46" s="46">
        <f t="shared" si="1"/>
        <v>0.83951704723008147</v>
      </c>
      <c r="AH46" s="44">
        <f t="shared" si="21"/>
        <v>2504828459</v>
      </c>
      <c r="AI46" s="44"/>
      <c r="AJ46" s="44">
        <f>+'[3]Acuerdo PLAN INVERSIÓN 2021'!$J$1416</f>
        <v>3000000</v>
      </c>
      <c r="AK46" s="44"/>
      <c r="AL46" s="44"/>
      <c r="AM46" s="44"/>
      <c r="AN46" s="44"/>
      <c r="AO46" s="44"/>
      <c r="AP46" s="44">
        <f>+'[6]Acuerdo PLAN INVERSIÓN 2021'!$S$2398</f>
        <v>17381368</v>
      </c>
      <c r="AQ46" s="44"/>
      <c r="AR46" s="44"/>
      <c r="AS46" s="44"/>
      <c r="AT46" s="44"/>
      <c r="AU46" s="44"/>
      <c r="AV46" s="44"/>
      <c r="AW46" s="44"/>
      <c r="AX46" s="44">
        <f>+'[5]Acuerdo PLAN INVERSIÓN 2021'!$W$2916</f>
        <v>2416797262</v>
      </c>
      <c r="AY46" s="44"/>
      <c r="AZ46" s="44">
        <f>+'[5]Acuerdo PLAN INVERSIÓN 2021'!$X$2916</f>
        <v>52343162</v>
      </c>
      <c r="BA46" s="44">
        <f>+'[10]Acuerdo PLAN INVERSIÓN 2021'!$X$345</f>
        <v>15306667</v>
      </c>
      <c r="BB46" s="44"/>
      <c r="BC46" s="44"/>
      <c r="BD46" s="44"/>
      <c r="BE46" s="44"/>
      <c r="BF46" s="46">
        <f t="shared" si="12"/>
        <v>0.16048295276991853</v>
      </c>
      <c r="BG46" s="44">
        <f t="shared" si="22"/>
        <v>478825616</v>
      </c>
      <c r="BH46" s="44">
        <f t="shared" si="32"/>
        <v>0</v>
      </c>
      <c r="BI46" s="44">
        <f t="shared" si="32"/>
        <v>4989917</v>
      </c>
      <c r="BJ46" s="44">
        <f t="shared" si="32"/>
        <v>0</v>
      </c>
      <c r="BK46" s="44">
        <f t="shared" si="32"/>
        <v>0</v>
      </c>
      <c r="BL46" s="44">
        <f t="shared" si="32"/>
        <v>0</v>
      </c>
      <c r="BM46" s="44">
        <f t="shared" si="32"/>
        <v>0</v>
      </c>
      <c r="BN46" s="44">
        <f t="shared" si="32"/>
        <v>0</v>
      </c>
      <c r="BO46" s="44">
        <f t="shared" si="32"/>
        <v>7618632</v>
      </c>
      <c r="BP46" s="44">
        <f t="shared" si="32"/>
        <v>0</v>
      </c>
      <c r="BQ46" s="44">
        <f t="shared" si="32"/>
        <v>0</v>
      </c>
      <c r="BR46" s="44">
        <f t="shared" si="32"/>
        <v>0</v>
      </c>
      <c r="BS46" s="44">
        <f t="shared" si="32"/>
        <v>0</v>
      </c>
      <c r="BT46" s="44">
        <f t="shared" si="32"/>
        <v>0</v>
      </c>
      <c r="BU46" s="44">
        <f t="shared" si="32"/>
        <v>0</v>
      </c>
      <c r="BV46" s="44">
        <f t="shared" si="32"/>
        <v>0</v>
      </c>
      <c r="BW46" s="44">
        <f t="shared" si="30"/>
        <v>443356813</v>
      </c>
      <c r="BX46" s="44">
        <f t="shared" si="24"/>
        <v>0</v>
      </c>
      <c r="BY46" s="44">
        <f t="shared" si="24"/>
        <v>21156838</v>
      </c>
      <c r="BZ46" s="44">
        <f t="shared" si="24"/>
        <v>1703416</v>
      </c>
      <c r="CA46" s="44">
        <f t="shared" si="24"/>
        <v>0</v>
      </c>
      <c r="CB46" s="44">
        <f t="shared" si="24"/>
        <v>0</v>
      </c>
      <c r="CC46" s="44">
        <f t="shared" si="24"/>
        <v>0</v>
      </c>
      <c r="CD46" s="44">
        <f t="shared" si="24"/>
        <v>0</v>
      </c>
      <c r="CE46" s="46">
        <f t="shared" si="6"/>
        <v>0.69305604169276891</v>
      </c>
      <c r="CF46" s="44">
        <f t="shared" si="25"/>
        <v>2067839483</v>
      </c>
      <c r="CG46" s="44"/>
      <c r="CH46" s="44">
        <f>+'[5]Acuerdo PLAN INVERSIÓN 2021'!$H$3209+'[5]Acuerdo PLAN INVERSIÓN 2021'!$H$3352</f>
        <v>2040807</v>
      </c>
      <c r="CI46" s="44"/>
      <c r="CJ46" s="44"/>
      <c r="CK46" s="44"/>
      <c r="CL46" s="44"/>
      <c r="CM46" s="44"/>
      <c r="CN46" s="44">
        <f>+'[6]Acuerdo PLAN INVERSIÓN 2021'!$H$2526+'[6]Acuerdo PLAN INVERSIÓN 2021'!$H$2546+'[6]Acuerdo PLAN INVERSIÓN 2021'!$H$3006</f>
        <v>17381366</v>
      </c>
      <c r="CO46" s="44"/>
      <c r="CP46" s="44"/>
      <c r="CQ46" s="44"/>
      <c r="CR46" s="44"/>
      <c r="CS46" s="44"/>
      <c r="CT46" s="44"/>
      <c r="CU46" s="44"/>
      <c r="CV46" s="44">
        <f>+'[5]Acuerdo PLAN INVERSIÓN 2021'!$H$2914-CH46-CN46-CX46-CY46</f>
        <v>1982267495</v>
      </c>
      <c r="CW46" s="44"/>
      <c r="CX46" s="44">
        <f>+'[5]Acuerdo PLAN INVERSIÓN 2021'!$H$3191+'[5]Acuerdo PLAN INVERSIÓN 2021'!$H$3339+'[5]Acuerdo PLAN INVERSIÓN 2021'!$H$3367+'[5]Acuerdo PLAN INVERSIÓN 2021'!$H$3414+'[5]Acuerdo PLAN INVERSIÓN 2021'!$H$3431+'[5]Acuerdo PLAN INVERSIÓN 2021'!$H$3434+'[5]Acuerdo PLAN INVERSIÓN 2021'!$H$3437+'[5]Acuerdo PLAN INVERSIÓN 2021'!$H$3440+'[5]Acuerdo PLAN INVERSIÓN 2021'!$H$3744</f>
        <v>50843149</v>
      </c>
      <c r="CY46" s="44">
        <f>+'[4]Acuerdo PLAN INVERSIÓN 2021'!$H$1278</f>
        <v>15306666</v>
      </c>
      <c r="CZ46" s="44"/>
      <c r="DA46" s="44"/>
      <c r="DB46" s="44"/>
      <c r="DC46" s="44"/>
      <c r="DD46" s="46">
        <f t="shared" si="8"/>
        <v>0.30694395830723109</v>
      </c>
      <c r="DE46" s="44">
        <f t="shared" si="26"/>
        <v>915814592</v>
      </c>
      <c r="DF46" s="44">
        <f t="shared" si="33"/>
        <v>0</v>
      </c>
      <c r="DG46" s="44">
        <f t="shared" si="33"/>
        <v>5949110</v>
      </c>
      <c r="DH46" s="44">
        <f t="shared" si="33"/>
        <v>0</v>
      </c>
      <c r="DI46" s="44">
        <f t="shared" si="33"/>
        <v>0</v>
      </c>
      <c r="DJ46" s="44">
        <f t="shared" si="33"/>
        <v>0</v>
      </c>
      <c r="DK46" s="44">
        <f t="shared" si="33"/>
        <v>0</v>
      </c>
      <c r="DL46" s="44">
        <f t="shared" si="33"/>
        <v>0</v>
      </c>
      <c r="DM46" s="44">
        <f t="shared" si="33"/>
        <v>7618634</v>
      </c>
      <c r="DN46" s="44">
        <f t="shared" si="33"/>
        <v>0</v>
      </c>
      <c r="DO46" s="44">
        <f t="shared" si="33"/>
        <v>0</v>
      </c>
      <c r="DP46" s="44">
        <f t="shared" si="33"/>
        <v>0</v>
      </c>
      <c r="DQ46" s="44">
        <f t="shared" si="33"/>
        <v>0</v>
      </c>
      <c r="DR46" s="44">
        <f t="shared" si="33"/>
        <v>0</v>
      </c>
      <c r="DS46" s="44">
        <f t="shared" si="33"/>
        <v>0</v>
      </c>
      <c r="DT46" s="44">
        <f t="shared" si="33"/>
        <v>0</v>
      </c>
      <c r="DU46" s="44">
        <f t="shared" si="31"/>
        <v>877886580</v>
      </c>
      <c r="DV46" s="44">
        <f t="shared" si="28"/>
        <v>0</v>
      </c>
      <c r="DW46" s="44">
        <f t="shared" si="28"/>
        <v>22656851</v>
      </c>
      <c r="DX46" s="44">
        <f t="shared" si="28"/>
        <v>1703417</v>
      </c>
      <c r="DY46" s="44">
        <f t="shared" si="28"/>
        <v>0</v>
      </c>
      <c r="DZ46" s="44">
        <f t="shared" si="28"/>
        <v>0</v>
      </c>
      <c r="EA46" s="44">
        <f t="shared" si="28"/>
        <v>0</v>
      </c>
      <c r="EB46" s="44">
        <f t="shared" si="28"/>
        <v>0</v>
      </c>
    </row>
    <row r="47" spans="1:132" ht="26.25" customHeight="1" x14ac:dyDescent="0.25">
      <c r="A47" s="88"/>
      <c r="B47" s="77" t="s">
        <v>159</v>
      </c>
      <c r="C47" s="40" t="s">
        <v>160</v>
      </c>
      <c r="D47" s="54" t="s">
        <v>161</v>
      </c>
      <c r="E47" s="42">
        <v>410</v>
      </c>
      <c r="F47" s="56" t="s">
        <v>162</v>
      </c>
      <c r="G47" s="44">
        <f t="shared" si="20"/>
        <v>139000000</v>
      </c>
      <c r="H47" s="45">
        <v>198000000</v>
      </c>
      <c r="I47" s="45">
        <f t="shared" si="29"/>
        <v>59000000</v>
      </c>
      <c r="J47" s="44"/>
      <c r="K47" s="44">
        <v>90000000</v>
      </c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>
        <v>20000000</v>
      </c>
      <c r="AB47" s="44"/>
      <c r="AC47" s="44"/>
      <c r="AD47" s="44"/>
      <c r="AE47" s="44"/>
      <c r="AF47" s="44">
        <f>5000000+24000000</f>
        <v>29000000</v>
      </c>
      <c r="AG47" s="46">
        <f t="shared" si="1"/>
        <v>1</v>
      </c>
      <c r="AH47" s="44">
        <f t="shared" si="21"/>
        <v>139000000</v>
      </c>
      <c r="AI47" s="44"/>
      <c r="AJ47" s="44">
        <f>+'[4]Acuerdo PLAN INVERSIÓN 2021'!$J$1475</f>
        <v>90000000</v>
      </c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>
        <f>+'[4]Acuerdo PLAN INVERSIÓN 2021'!$X$1475</f>
        <v>20000000</v>
      </c>
      <c r="BA47" s="44"/>
      <c r="BB47" s="44"/>
      <c r="BC47" s="44"/>
      <c r="BD47" s="44"/>
      <c r="BE47" s="44">
        <f>+'[7]Acuerdo PLAN INVERSIÓN 2021'!$AF$1255</f>
        <v>29000000</v>
      </c>
      <c r="BF47" s="46">
        <f t="shared" si="12"/>
        <v>0</v>
      </c>
      <c r="BG47" s="44">
        <f t="shared" si="22"/>
        <v>0</v>
      </c>
      <c r="BH47" s="44">
        <f t="shared" si="32"/>
        <v>0</v>
      </c>
      <c r="BI47" s="44">
        <f t="shared" si="32"/>
        <v>0</v>
      </c>
      <c r="BJ47" s="44">
        <f t="shared" si="32"/>
        <v>0</v>
      </c>
      <c r="BK47" s="44">
        <f t="shared" si="32"/>
        <v>0</v>
      </c>
      <c r="BL47" s="44">
        <f t="shared" si="32"/>
        <v>0</v>
      </c>
      <c r="BM47" s="44">
        <f t="shared" si="32"/>
        <v>0</v>
      </c>
      <c r="BN47" s="44">
        <f t="shared" si="32"/>
        <v>0</v>
      </c>
      <c r="BO47" s="44">
        <f t="shared" si="32"/>
        <v>0</v>
      </c>
      <c r="BP47" s="44">
        <f t="shared" si="32"/>
        <v>0</v>
      </c>
      <c r="BQ47" s="44">
        <f t="shared" si="32"/>
        <v>0</v>
      </c>
      <c r="BR47" s="44">
        <f t="shared" si="32"/>
        <v>0</v>
      </c>
      <c r="BS47" s="44">
        <f t="shared" si="32"/>
        <v>0</v>
      </c>
      <c r="BT47" s="44">
        <f t="shared" si="32"/>
        <v>0</v>
      </c>
      <c r="BU47" s="44">
        <f t="shared" si="32"/>
        <v>0</v>
      </c>
      <c r="BV47" s="44">
        <f t="shared" si="32"/>
        <v>0</v>
      </c>
      <c r="BW47" s="44">
        <f t="shared" si="30"/>
        <v>0</v>
      </c>
      <c r="BX47" s="44">
        <f t="shared" si="24"/>
        <v>0</v>
      </c>
      <c r="BY47" s="44">
        <f t="shared" si="24"/>
        <v>0</v>
      </c>
      <c r="BZ47" s="44">
        <f t="shared" si="24"/>
        <v>0</v>
      </c>
      <c r="CA47" s="44">
        <f t="shared" si="24"/>
        <v>0</v>
      </c>
      <c r="CB47" s="44">
        <f t="shared" si="24"/>
        <v>0</v>
      </c>
      <c r="CC47" s="44">
        <f t="shared" si="24"/>
        <v>0</v>
      </c>
      <c r="CD47" s="44">
        <f t="shared" si="24"/>
        <v>0</v>
      </c>
      <c r="CE47" s="46">
        <f t="shared" si="6"/>
        <v>0.92221749640287765</v>
      </c>
      <c r="CF47" s="44">
        <f t="shared" si="25"/>
        <v>128188232</v>
      </c>
      <c r="CG47" s="44"/>
      <c r="CH47" s="44">
        <f>+'[5]Acuerdo PLAN INVERSIÓN 2021'!$H$3758+'[5]Acuerdo PLAN INVERSIÓN 2021'!$H$3764+'[5]Acuerdo PLAN INVERSIÓN 2021'!$H$3767+'[5]Acuerdo PLAN INVERSIÓN 2021'!$H$3775</f>
        <v>89754339</v>
      </c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>
        <f>+'[5]Acuerdo PLAN INVERSIÓN 2021'!$H$3779+'[5]Acuerdo PLAN INVERSIÓN 2021'!$H$3784</f>
        <v>13018560</v>
      </c>
      <c r="CY47" s="44"/>
      <c r="CZ47" s="44"/>
      <c r="DA47" s="44"/>
      <c r="DB47" s="44"/>
      <c r="DC47" s="44">
        <f>+'[5]Acuerdo PLAN INVERSIÓN 2021'!$H$3761+'[5]Acuerdo PLAN INVERSIÓN 2021'!$H$3770</f>
        <v>25415333</v>
      </c>
      <c r="DD47" s="46">
        <f t="shared" si="8"/>
        <v>7.7782503597122354E-2</v>
      </c>
      <c r="DE47" s="44">
        <f t="shared" si="26"/>
        <v>10811768</v>
      </c>
      <c r="DF47" s="44">
        <f t="shared" si="33"/>
        <v>0</v>
      </c>
      <c r="DG47" s="44">
        <f t="shared" si="33"/>
        <v>245661</v>
      </c>
      <c r="DH47" s="44">
        <f t="shared" si="33"/>
        <v>0</v>
      </c>
      <c r="DI47" s="44">
        <f t="shared" si="33"/>
        <v>0</v>
      </c>
      <c r="DJ47" s="44">
        <f t="shared" si="33"/>
        <v>0</v>
      </c>
      <c r="DK47" s="44">
        <f t="shared" si="33"/>
        <v>0</v>
      </c>
      <c r="DL47" s="44">
        <f t="shared" si="33"/>
        <v>0</v>
      </c>
      <c r="DM47" s="44">
        <f t="shared" si="33"/>
        <v>0</v>
      </c>
      <c r="DN47" s="44">
        <f t="shared" si="33"/>
        <v>0</v>
      </c>
      <c r="DO47" s="44">
        <f t="shared" si="33"/>
        <v>0</v>
      </c>
      <c r="DP47" s="44">
        <f t="shared" si="33"/>
        <v>0</v>
      </c>
      <c r="DQ47" s="44">
        <f t="shared" si="33"/>
        <v>0</v>
      </c>
      <c r="DR47" s="44">
        <f t="shared" si="33"/>
        <v>0</v>
      </c>
      <c r="DS47" s="44">
        <f t="shared" si="33"/>
        <v>0</v>
      </c>
      <c r="DT47" s="44">
        <f t="shared" si="33"/>
        <v>0</v>
      </c>
      <c r="DU47" s="44">
        <f t="shared" si="31"/>
        <v>0</v>
      </c>
      <c r="DV47" s="44">
        <f t="shared" si="28"/>
        <v>0</v>
      </c>
      <c r="DW47" s="44">
        <f t="shared" si="28"/>
        <v>6981440</v>
      </c>
      <c r="DX47" s="44">
        <f t="shared" si="28"/>
        <v>0</v>
      </c>
      <c r="DY47" s="44">
        <f t="shared" si="28"/>
        <v>0</v>
      </c>
      <c r="DZ47" s="44">
        <f t="shared" si="28"/>
        <v>0</v>
      </c>
      <c r="EA47" s="44">
        <f t="shared" si="28"/>
        <v>0</v>
      </c>
      <c r="EB47" s="44">
        <f t="shared" si="28"/>
        <v>3584667</v>
      </c>
    </row>
    <row r="48" spans="1:132" ht="29.25" customHeight="1" x14ac:dyDescent="0.25">
      <c r="A48" s="88"/>
      <c r="B48" s="84"/>
      <c r="C48" s="40" t="s">
        <v>163</v>
      </c>
      <c r="D48" s="54" t="s">
        <v>164</v>
      </c>
      <c r="E48" s="42">
        <v>410</v>
      </c>
      <c r="F48" s="43" t="s">
        <v>165</v>
      </c>
      <c r="G48" s="44">
        <f t="shared" si="20"/>
        <v>144453059</v>
      </c>
      <c r="H48" s="45">
        <v>100000000</v>
      </c>
      <c r="I48" s="45">
        <f t="shared" si="29"/>
        <v>-44453059</v>
      </c>
      <c r="J48" s="44"/>
      <c r="K48" s="44"/>
      <c r="L48" s="44"/>
      <c r="M48" s="44"/>
      <c r="N48" s="44"/>
      <c r="O48" s="44"/>
      <c r="P48" s="44"/>
      <c r="Q48" s="44">
        <v>30000000</v>
      </c>
      <c r="R48" s="44"/>
      <c r="S48" s="44"/>
      <c r="T48" s="44"/>
      <c r="U48" s="44"/>
      <c r="V48" s="44"/>
      <c r="W48" s="44"/>
      <c r="X48" s="44"/>
      <c r="Y48" s="44"/>
      <c r="Z48" s="44"/>
      <c r="AA48" s="44">
        <v>45015674</v>
      </c>
      <c r="AB48" s="44"/>
      <c r="AC48" s="44"/>
      <c r="AD48" s="44"/>
      <c r="AE48" s="44"/>
      <c r="AF48" s="44">
        <f>10000000+17180000+4100000+23621676+3000000+3000000+5535709+3000000</f>
        <v>69437385</v>
      </c>
      <c r="AG48" s="46">
        <f t="shared" si="1"/>
        <v>0.96527817385992498</v>
      </c>
      <c r="AH48" s="44">
        <f>SUM(AI48:BE48)</f>
        <v>139437385</v>
      </c>
      <c r="AI48" s="44"/>
      <c r="AJ48" s="44"/>
      <c r="AK48" s="44"/>
      <c r="AL48" s="44"/>
      <c r="AM48" s="44"/>
      <c r="AN48" s="44"/>
      <c r="AO48" s="44"/>
      <c r="AP48" s="44">
        <f>+'[4]Acuerdo PLAN INVERSIÓN 2021'!$S$1497</f>
        <v>30000000</v>
      </c>
      <c r="AQ48" s="44"/>
      <c r="AR48" s="44"/>
      <c r="AS48" s="44"/>
      <c r="AT48" s="44"/>
      <c r="AU48" s="44"/>
      <c r="AV48" s="44"/>
      <c r="AW48" s="44"/>
      <c r="AX48" s="44"/>
      <c r="AY48" s="44"/>
      <c r="AZ48" s="44">
        <f>+'[5]Acuerdo PLAN INVERSIÓN 2021'!$X$3800</f>
        <v>40000000</v>
      </c>
      <c r="BA48" s="44"/>
      <c r="BB48" s="44"/>
      <c r="BC48" s="44"/>
      <c r="BD48" s="44"/>
      <c r="BE48" s="44">
        <f>+'[5]Acuerdo PLAN INVERSIÓN 2021'!$AF$3800</f>
        <v>69437385</v>
      </c>
      <c r="BF48" s="46">
        <f t="shared" si="12"/>
        <v>3.4721826140075018E-2</v>
      </c>
      <c r="BG48" s="44">
        <f t="shared" si="22"/>
        <v>5015674</v>
      </c>
      <c r="BH48" s="44">
        <f t="shared" si="32"/>
        <v>0</v>
      </c>
      <c r="BI48" s="44">
        <f t="shared" si="32"/>
        <v>0</v>
      </c>
      <c r="BJ48" s="44">
        <f t="shared" si="32"/>
        <v>0</v>
      </c>
      <c r="BK48" s="44">
        <f t="shared" si="32"/>
        <v>0</v>
      </c>
      <c r="BL48" s="44">
        <f t="shared" si="32"/>
        <v>0</v>
      </c>
      <c r="BM48" s="44">
        <f t="shared" si="32"/>
        <v>0</v>
      </c>
      <c r="BN48" s="44">
        <f t="shared" si="32"/>
        <v>0</v>
      </c>
      <c r="BO48" s="44">
        <f t="shared" si="32"/>
        <v>0</v>
      </c>
      <c r="BP48" s="44">
        <f t="shared" si="32"/>
        <v>0</v>
      </c>
      <c r="BQ48" s="44">
        <f t="shared" si="32"/>
        <v>0</v>
      </c>
      <c r="BR48" s="44">
        <f t="shared" si="32"/>
        <v>0</v>
      </c>
      <c r="BS48" s="44">
        <f t="shared" si="32"/>
        <v>0</v>
      </c>
      <c r="BT48" s="44">
        <f t="shared" si="32"/>
        <v>0</v>
      </c>
      <c r="BU48" s="44">
        <f t="shared" si="32"/>
        <v>0</v>
      </c>
      <c r="BV48" s="44">
        <f t="shared" si="32"/>
        <v>0</v>
      </c>
      <c r="BW48" s="44">
        <f t="shared" si="30"/>
        <v>0</v>
      </c>
      <c r="BX48" s="44">
        <f t="shared" si="24"/>
        <v>0</v>
      </c>
      <c r="BY48" s="44">
        <f t="shared" si="24"/>
        <v>5015674</v>
      </c>
      <c r="BZ48" s="44">
        <f t="shared" si="24"/>
        <v>0</v>
      </c>
      <c r="CA48" s="44">
        <f t="shared" si="24"/>
        <v>0</v>
      </c>
      <c r="CB48" s="44">
        <f t="shared" si="24"/>
        <v>0</v>
      </c>
      <c r="CC48" s="44">
        <f t="shared" si="24"/>
        <v>0</v>
      </c>
      <c r="CD48" s="44">
        <f t="shared" si="24"/>
        <v>0</v>
      </c>
      <c r="CE48" s="46">
        <f t="shared" si="6"/>
        <v>0.75430761213578734</v>
      </c>
      <c r="CF48" s="44">
        <f t="shared" si="25"/>
        <v>108962042</v>
      </c>
      <c r="CG48" s="44"/>
      <c r="CH48" s="44"/>
      <c r="CI48" s="44"/>
      <c r="CJ48" s="44"/>
      <c r="CK48" s="44"/>
      <c r="CL48" s="44"/>
      <c r="CM48" s="44"/>
      <c r="CN48" s="44">
        <f>+'[5]Acuerdo PLAN INVERSIÓN 2021'!$H$3804+'[5]Acuerdo PLAN INVERSIÓN 2021'!$H$3807+'[5]Acuerdo PLAN INVERSIÓN 2021'!$H$3828</f>
        <v>23679830</v>
      </c>
      <c r="CO48" s="44"/>
      <c r="CP48" s="44"/>
      <c r="CQ48" s="44"/>
      <c r="CR48" s="44"/>
      <c r="CS48" s="44"/>
      <c r="CT48" s="44"/>
      <c r="CU48" s="44"/>
      <c r="CV48" s="44"/>
      <c r="CW48" s="44"/>
      <c r="CX48" s="44">
        <f>+'[5]Acuerdo PLAN INVERSIÓN 2021'!$H$3833</f>
        <v>20969401</v>
      </c>
      <c r="CY48" s="44"/>
      <c r="CZ48" s="44"/>
      <c r="DA48" s="44"/>
      <c r="DB48" s="44"/>
      <c r="DC48" s="44">
        <f>+'[5]Acuerdo PLAN INVERSIÓN 2021'!$H$3801+'[5]Acuerdo PLAN INVERSIÓN 2021'!$H$3810+'[5]Acuerdo PLAN INVERSIÓN 2021'!$H$3813+'[5]Acuerdo PLAN INVERSIÓN 2021'!$H$3817+'[5]Acuerdo PLAN INVERSIÓN 2021'!$H$3822+'[5]Acuerdo PLAN INVERSIÓN 2021'!$H$3825+'[5]Acuerdo PLAN INVERSIÓN 2021'!$H$3838+'[5]Acuerdo PLAN INVERSIÓN 2021'!$H$3846</f>
        <v>64312811</v>
      </c>
      <c r="DD48" s="46">
        <f>1-CE48</f>
        <v>0.24569238786421266</v>
      </c>
      <c r="DE48" s="44">
        <f t="shared" si="26"/>
        <v>35491017</v>
      </c>
      <c r="DF48" s="44">
        <f t="shared" si="33"/>
        <v>0</v>
      </c>
      <c r="DG48" s="44">
        <f t="shared" si="33"/>
        <v>0</v>
      </c>
      <c r="DH48" s="44">
        <f t="shared" si="33"/>
        <v>0</v>
      </c>
      <c r="DI48" s="44">
        <f t="shared" si="33"/>
        <v>0</v>
      </c>
      <c r="DJ48" s="44">
        <f t="shared" si="33"/>
        <v>0</v>
      </c>
      <c r="DK48" s="44">
        <f t="shared" si="33"/>
        <v>0</v>
      </c>
      <c r="DL48" s="44">
        <f t="shared" si="33"/>
        <v>0</v>
      </c>
      <c r="DM48" s="44">
        <f t="shared" si="33"/>
        <v>6320170</v>
      </c>
      <c r="DN48" s="44">
        <f t="shared" si="33"/>
        <v>0</v>
      </c>
      <c r="DO48" s="44">
        <f t="shared" si="33"/>
        <v>0</v>
      </c>
      <c r="DP48" s="44">
        <f t="shared" si="33"/>
        <v>0</v>
      </c>
      <c r="DQ48" s="44">
        <f t="shared" si="33"/>
        <v>0</v>
      </c>
      <c r="DR48" s="44">
        <f t="shared" si="33"/>
        <v>0</v>
      </c>
      <c r="DS48" s="44">
        <f t="shared" si="33"/>
        <v>0</v>
      </c>
      <c r="DT48" s="44">
        <f t="shared" si="33"/>
        <v>0</v>
      </c>
      <c r="DU48" s="44">
        <f t="shared" si="31"/>
        <v>0</v>
      </c>
      <c r="DV48" s="44">
        <f t="shared" si="28"/>
        <v>0</v>
      </c>
      <c r="DW48" s="44">
        <f t="shared" si="28"/>
        <v>24046273</v>
      </c>
      <c r="DX48" s="44">
        <f t="shared" si="28"/>
        <v>0</v>
      </c>
      <c r="DY48" s="44">
        <f t="shared" si="28"/>
        <v>0</v>
      </c>
      <c r="DZ48" s="44">
        <f t="shared" si="28"/>
        <v>0</v>
      </c>
      <c r="EA48" s="44">
        <f t="shared" si="28"/>
        <v>0</v>
      </c>
      <c r="EB48" s="44">
        <f t="shared" si="28"/>
        <v>5124574</v>
      </c>
    </row>
    <row r="49" spans="1:132" ht="23.25" customHeight="1" x14ac:dyDescent="0.25">
      <c r="A49" s="88"/>
      <c r="B49" s="81"/>
      <c r="C49" s="40" t="s">
        <v>166</v>
      </c>
      <c r="D49" s="54" t="s">
        <v>167</v>
      </c>
      <c r="E49" s="42">
        <v>410</v>
      </c>
      <c r="F49" s="56" t="s">
        <v>150</v>
      </c>
      <c r="G49" s="44">
        <f t="shared" si="20"/>
        <v>387982158</v>
      </c>
      <c r="H49" s="45">
        <v>243836000</v>
      </c>
      <c r="I49" s="45">
        <f t="shared" si="29"/>
        <v>-144146158</v>
      </c>
      <c r="J49" s="44"/>
      <c r="K49" s="44">
        <f>150000000+20000000</f>
        <v>170000000</v>
      </c>
      <c r="L49" s="44"/>
      <c r="M49" s="44"/>
      <c r="N49" s="44"/>
      <c r="O49" s="44"/>
      <c r="P49" s="44"/>
      <c r="Q49" s="44">
        <f>17696610+25000000</f>
        <v>42696610</v>
      </c>
      <c r="R49" s="44"/>
      <c r="S49" s="44"/>
      <c r="T49" s="44"/>
      <c r="U49" s="44">
        <f>20000000+38135548</f>
        <v>58135548</v>
      </c>
      <c r="V49" s="44"/>
      <c r="W49" s="44"/>
      <c r="X49" s="44"/>
      <c r="Y49" s="44"/>
      <c r="Z49" s="44"/>
      <c r="AA49" s="44">
        <v>110000000</v>
      </c>
      <c r="AB49" s="44"/>
      <c r="AC49" s="44"/>
      <c r="AD49" s="44"/>
      <c r="AE49" s="44"/>
      <c r="AF49" s="44">
        <f>5000000+25000000-22850000</f>
        <v>7150000</v>
      </c>
      <c r="AG49" s="46">
        <f t="shared" si="1"/>
        <v>0.52566633747111635</v>
      </c>
      <c r="AH49" s="44">
        <f t="shared" si="21"/>
        <v>203949160</v>
      </c>
      <c r="AI49" s="44"/>
      <c r="AJ49" s="44">
        <f>+'[1]Acuerdo PLAN INVERSIÓN 2021'!$J$2646</f>
        <v>134984000</v>
      </c>
      <c r="AK49" s="44"/>
      <c r="AL49" s="44"/>
      <c r="AM49" s="44"/>
      <c r="AN49" s="44"/>
      <c r="AO49" s="44"/>
      <c r="AP49" s="44">
        <f>+'[6]Acuerdo PLAN INVERSIÓN 2021'!$S$3217</f>
        <v>20000000</v>
      </c>
      <c r="AQ49" s="44"/>
      <c r="AR49" s="44"/>
      <c r="AS49" s="44"/>
      <c r="AT49" s="44">
        <f>+'[6]Acuerdo PLAN INVERSIÓN 2021'!$O$3217</f>
        <v>20000000</v>
      </c>
      <c r="AU49" s="44"/>
      <c r="AV49" s="44"/>
      <c r="AW49" s="44"/>
      <c r="AX49" s="44"/>
      <c r="AY49" s="44"/>
      <c r="AZ49" s="44">
        <f>+'[5]Acuerdo PLAN INVERSIÓN 2021'!$X$3855</f>
        <v>21815160</v>
      </c>
      <c r="BA49" s="44"/>
      <c r="BB49" s="44"/>
      <c r="BC49" s="44"/>
      <c r="BD49" s="44"/>
      <c r="BE49" s="44">
        <f>+'[1]Acuerdo PLAN INVERSIÓN 2021'!$AF$2646</f>
        <v>7150000</v>
      </c>
      <c r="BF49" s="46">
        <f t="shared" si="12"/>
        <v>0.47433366252888365</v>
      </c>
      <c r="BG49" s="44">
        <f t="shared" si="22"/>
        <v>184032998</v>
      </c>
      <c r="BH49" s="44">
        <f t="shared" si="32"/>
        <v>0</v>
      </c>
      <c r="BI49" s="44">
        <f t="shared" si="32"/>
        <v>35016000</v>
      </c>
      <c r="BJ49" s="44">
        <f t="shared" si="32"/>
        <v>0</v>
      </c>
      <c r="BK49" s="44">
        <f t="shared" si="32"/>
        <v>0</v>
      </c>
      <c r="BL49" s="44">
        <f t="shared" si="32"/>
        <v>0</v>
      </c>
      <c r="BM49" s="44">
        <f t="shared" si="32"/>
        <v>0</v>
      </c>
      <c r="BN49" s="44">
        <f t="shared" si="32"/>
        <v>0</v>
      </c>
      <c r="BO49" s="44">
        <f t="shared" si="32"/>
        <v>22696610</v>
      </c>
      <c r="BP49" s="44">
        <f t="shared" si="32"/>
        <v>0</v>
      </c>
      <c r="BQ49" s="44">
        <f t="shared" si="32"/>
        <v>0</v>
      </c>
      <c r="BR49" s="44">
        <f t="shared" si="32"/>
        <v>0</v>
      </c>
      <c r="BS49" s="44">
        <f t="shared" si="32"/>
        <v>38135548</v>
      </c>
      <c r="BT49" s="44">
        <f t="shared" si="32"/>
        <v>0</v>
      </c>
      <c r="BU49" s="44">
        <f t="shared" si="32"/>
        <v>0</v>
      </c>
      <c r="BV49" s="44">
        <f t="shared" si="32"/>
        <v>0</v>
      </c>
      <c r="BW49" s="44">
        <f t="shared" si="30"/>
        <v>0</v>
      </c>
      <c r="BX49" s="44">
        <f t="shared" si="24"/>
        <v>0</v>
      </c>
      <c r="BY49" s="44">
        <f t="shared" si="24"/>
        <v>88184840</v>
      </c>
      <c r="BZ49" s="44">
        <f t="shared" si="24"/>
        <v>0</v>
      </c>
      <c r="CA49" s="44">
        <f t="shared" si="24"/>
        <v>0</v>
      </c>
      <c r="CB49" s="44">
        <f t="shared" si="24"/>
        <v>0</v>
      </c>
      <c r="CC49" s="44">
        <f t="shared" si="24"/>
        <v>0</v>
      </c>
      <c r="CD49" s="44">
        <f t="shared" si="24"/>
        <v>0</v>
      </c>
      <c r="CE49" s="46">
        <f t="shared" si="6"/>
        <v>0.34983648397563682</v>
      </c>
      <c r="CF49" s="44">
        <f t="shared" si="25"/>
        <v>135730314</v>
      </c>
      <c r="CG49" s="44"/>
      <c r="CH49" s="44">
        <f>+'[5]Acuerdo PLAN INVERSIÓN 2021'!$H$3856+'[5]Acuerdo PLAN INVERSIÓN 2021'!$H$3861+'[5]Acuerdo PLAN INVERSIÓN 2021'!$H$3864+'[5]Acuerdo PLAN INVERSIÓN 2021'!$H$3894+'[5]Acuerdo PLAN INVERSIÓN 2021'!$H$3897+'[5]Acuerdo PLAN INVERSIÓN 2021'!$H$3900+'[5]Acuerdo PLAN INVERSIÓN 2021'!$H$3903+'[5]Acuerdo PLAN INVERSIÓN 2021'!$H$3906+'[5]Acuerdo PLAN INVERSIÓN 2021'!$H$3925+'[5]Acuerdo PLAN INVERSIÓN 2021'!$H$3928+'[5]Acuerdo PLAN INVERSIÓN 2021'!$H$3931+'[5]Acuerdo PLAN INVERSIÓN 2021'!$H$3939+'[5]Acuerdo PLAN INVERSIÓN 2021'!$H$3951+'[5]Acuerdo PLAN INVERSIÓN 2021'!$H$3954+'[5]Acuerdo PLAN INVERSIÓN 2021'!$H$3976</f>
        <v>110318042</v>
      </c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>
        <f>+'[5]Acuerdo PLAN INVERSIÓN 2021'!$H$3942+'[5]Acuerdo PLAN INVERSIÓN 2021'!$H$3945+'[5]Acuerdo PLAN INVERSIÓN 2021'!$H$3948+'[5]Acuerdo PLAN INVERSIÓN 2021'!$H$3980+'[5]Acuerdo PLAN INVERSIÓN 2021'!$H$4010</f>
        <v>18262272</v>
      </c>
      <c r="CY49" s="44"/>
      <c r="CZ49" s="44"/>
      <c r="DA49" s="44"/>
      <c r="DB49" s="44"/>
      <c r="DC49" s="44">
        <f>+'[5]Acuerdo PLAN INVERSIÓN 2021'!$H$3969+'[5]Acuerdo PLAN INVERSIÓN 2021'!$H$3973</f>
        <v>7150000</v>
      </c>
      <c r="DD49" s="46">
        <f t="shared" si="8"/>
        <v>0.65016351602436318</v>
      </c>
      <c r="DE49" s="44">
        <f t="shared" si="26"/>
        <v>252251844</v>
      </c>
      <c r="DF49" s="44">
        <f t="shared" si="33"/>
        <v>0</v>
      </c>
      <c r="DG49" s="44">
        <f t="shared" si="33"/>
        <v>59681958</v>
      </c>
      <c r="DH49" s="44">
        <f t="shared" si="33"/>
        <v>0</v>
      </c>
      <c r="DI49" s="44">
        <f t="shared" si="33"/>
        <v>0</v>
      </c>
      <c r="DJ49" s="44">
        <f t="shared" si="33"/>
        <v>0</v>
      </c>
      <c r="DK49" s="44">
        <f t="shared" si="33"/>
        <v>0</v>
      </c>
      <c r="DL49" s="44">
        <f t="shared" si="33"/>
        <v>0</v>
      </c>
      <c r="DM49" s="44">
        <f t="shared" si="33"/>
        <v>42696610</v>
      </c>
      <c r="DN49" s="44">
        <f t="shared" si="33"/>
        <v>0</v>
      </c>
      <c r="DO49" s="44">
        <f t="shared" si="33"/>
        <v>0</v>
      </c>
      <c r="DP49" s="44">
        <f t="shared" si="33"/>
        <v>0</v>
      </c>
      <c r="DQ49" s="44">
        <f t="shared" si="33"/>
        <v>58135548</v>
      </c>
      <c r="DR49" s="44">
        <f t="shared" si="33"/>
        <v>0</v>
      </c>
      <c r="DS49" s="44">
        <f t="shared" si="33"/>
        <v>0</v>
      </c>
      <c r="DT49" s="44">
        <f t="shared" si="33"/>
        <v>0</v>
      </c>
      <c r="DU49" s="44">
        <f t="shared" si="31"/>
        <v>0</v>
      </c>
      <c r="DV49" s="44">
        <f t="shared" si="28"/>
        <v>0</v>
      </c>
      <c r="DW49" s="44">
        <f t="shared" si="28"/>
        <v>91737728</v>
      </c>
      <c r="DX49" s="44">
        <f t="shared" si="28"/>
        <v>0</v>
      </c>
      <c r="DY49" s="44">
        <f t="shared" si="28"/>
        <v>0</v>
      </c>
      <c r="DZ49" s="44">
        <f t="shared" si="28"/>
        <v>0</v>
      </c>
      <c r="EA49" s="44">
        <f t="shared" si="28"/>
        <v>0</v>
      </c>
      <c r="EB49" s="44">
        <f t="shared" si="28"/>
        <v>0</v>
      </c>
    </row>
    <row r="50" spans="1:132" s="74" customFormat="1" ht="17.45" customHeight="1" thickBot="1" x14ac:dyDescent="0.3">
      <c r="A50" s="89"/>
      <c r="B50" s="90" t="s">
        <v>168</v>
      </c>
      <c r="C50" s="90"/>
      <c r="D50" s="90"/>
      <c r="E50" s="90"/>
      <c r="F50" s="91"/>
      <c r="G50" s="92">
        <f t="shared" ref="G50:AF50" si="34">SUM(G25:G49)</f>
        <v>9209707080</v>
      </c>
      <c r="H50" s="92">
        <f t="shared" si="34"/>
        <v>7720196000</v>
      </c>
      <c r="I50" s="92">
        <f t="shared" si="34"/>
        <v>-1489511080</v>
      </c>
      <c r="J50" s="92">
        <f t="shared" si="34"/>
        <v>0</v>
      </c>
      <c r="K50" s="92">
        <f t="shared" si="34"/>
        <v>477989917</v>
      </c>
      <c r="L50" s="92">
        <f t="shared" si="34"/>
        <v>0</v>
      </c>
      <c r="M50" s="92">
        <f t="shared" si="34"/>
        <v>0</v>
      </c>
      <c r="N50" s="92">
        <f t="shared" si="34"/>
        <v>0</v>
      </c>
      <c r="O50" s="92">
        <f t="shared" si="34"/>
        <v>0</v>
      </c>
      <c r="P50" s="92">
        <f t="shared" si="34"/>
        <v>0</v>
      </c>
      <c r="Q50" s="92">
        <f t="shared" si="34"/>
        <v>3406132571</v>
      </c>
      <c r="R50" s="92">
        <f t="shared" si="34"/>
        <v>75000000</v>
      </c>
      <c r="S50" s="92">
        <f t="shared" si="34"/>
        <v>180000000</v>
      </c>
      <c r="T50" s="92">
        <f t="shared" si="34"/>
        <v>30000000</v>
      </c>
      <c r="U50" s="92">
        <f t="shared" si="34"/>
        <v>58135548</v>
      </c>
      <c r="V50" s="92">
        <f t="shared" si="34"/>
        <v>0</v>
      </c>
      <c r="W50" s="92">
        <f t="shared" si="34"/>
        <v>0</v>
      </c>
      <c r="X50" s="92">
        <f t="shared" si="34"/>
        <v>104834591</v>
      </c>
      <c r="Y50" s="92">
        <f>SUM(Y25:Y49)</f>
        <v>2860154075</v>
      </c>
      <c r="Z50" s="92">
        <f t="shared" si="34"/>
        <v>0</v>
      </c>
      <c r="AA50" s="92">
        <f t="shared" si="34"/>
        <v>625000000</v>
      </c>
      <c r="AB50" s="92">
        <f t="shared" si="34"/>
        <v>392155169</v>
      </c>
      <c r="AC50" s="92">
        <f t="shared" si="34"/>
        <v>0</v>
      </c>
      <c r="AD50" s="92">
        <f t="shared" si="34"/>
        <v>475996742</v>
      </c>
      <c r="AE50" s="92">
        <f t="shared" si="34"/>
        <v>0</v>
      </c>
      <c r="AF50" s="92">
        <f t="shared" si="34"/>
        <v>524308467</v>
      </c>
      <c r="AG50" s="73">
        <f t="shared" si="1"/>
        <v>0.75414457828771686</v>
      </c>
      <c r="AH50" s="92">
        <f>SUM(AH25:AH49)</f>
        <v>6945450662</v>
      </c>
      <c r="AI50" s="92">
        <f t="shared" ref="AI50:CT50" si="35">SUM(AI25:AI49)</f>
        <v>0</v>
      </c>
      <c r="AJ50" s="92">
        <f t="shared" si="35"/>
        <v>404664018</v>
      </c>
      <c r="AK50" s="92">
        <f t="shared" si="35"/>
        <v>0</v>
      </c>
      <c r="AL50" s="92">
        <f t="shared" si="35"/>
        <v>0</v>
      </c>
      <c r="AM50" s="92">
        <f t="shared" si="35"/>
        <v>0</v>
      </c>
      <c r="AN50" s="92">
        <f t="shared" si="35"/>
        <v>0</v>
      </c>
      <c r="AO50" s="92">
        <f t="shared" si="35"/>
        <v>0</v>
      </c>
      <c r="AP50" s="92">
        <f t="shared" si="35"/>
        <v>2259474345</v>
      </c>
      <c r="AQ50" s="92">
        <f t="shared" si="35"/>
        <v>58183470</v>
      </c>
      <c r="AR50" s="92">
        <f t="shared" si="35"/>
        <v>57981429</v>
      </c>
      <c r="AS50" s="92">
        <f t="shared" si="35"/>
        <v>21857364</v>
      </c>
      <c r="AT50" s="92">
        <f t="shared" si="35"/>
        <v>20000000</v>
      </c>
      <c r="AU50" s="92">
        <f t="shared" si="35"/>
        <v>0</v>
      </c>
      <c r="AV50" s="92">
        <f t="shared" si="35"/>
        <v>0</v>
      </c>
      <c r="AW50" s="92">
        <f t="shared" si="35"/>
        <v>50000000</v>
      </c>
      <c r="AX50" s="92">
        <f t="shared" si="35"/>
        <v>2416797262</v>
      </c>
      <c r="AY50" s="92">
        <f t="shared" si="35"/>
        <v>0</v>
      </c>
      <c r="AZ50" s="92">
        <f t="shared" si="35"/>
        <v>426410072</v>
      </c>
      <c r="BA50" s="92">
        <f t="shared" si="35"/>
        <v>357711753</v>
      </c>
      <c r="BB50" s="92">
        <f t="shared" si="35"/>
        <v>0</v>
      </c>
      <c r="BC50" s="92">
        <f t="shared" si="35"/>
        <v>467767409</v>
      </c>
      <c r="BD50" s="92">
        <f t="shared" si="35"/>
        <v>0</v>
      </c>
      <c r="BE50" s="92">
        <f t="shared" si="35"/>
        <v>404603540</v>
      </c>
      <c r="BF50" s="73">
        <f t="shared" si="12"/>
        <v>0.24585542171228314</v>
      </c>
      <c r="BG50" s="92">
        <f t="shared" si="35"/>
        <v>2264256418</v>
      </c>
      <c r="BH50" s="92">
        <f t="shared" si="35"/>
        <v>0</v>
      </c>
      <c r="BI50" s="92">
        <f t="shared" si="35"/>
        <v>73325899</v>
      </c>
      <c r="BJ50" s="92">
        <f t="shared" si="35"/>
        <v>0</v>
      </c>
      <c r="BK50" s="92">
        <f t="shared" si="35"/>
        <v>0</v>
      </c>
      <c r="BL50" s="92">
        <f t="shared" si="35"/>
        <v>0</v>
      </c>
      <c r="BM50" s="92">
        <f t="shared" si="35"/>
        <v>0</v>
      </c>
      <c r="BN50" s="92">
        <f t="shared" si="35"/>
        <v>0</v>
      </c>
      <c r="BO50" s="92">
        <f t="shared" si="35"/>
        <v>1146658226</v>
      </c>
      <c r="BP50" s="92">
        <f t="shared" si="35"/>
        <v>16816530</v>
      </c>
      <c r="BQ50" s="92">
        <f t="shared" si="35"/>
        <v>122018571</v>
      </c>
      <c r="BR50" s="92">
        <f t="shared" si="35"/>
        <v>8142636</v>
      </c>
      <c r="BS50" s="92">
        <f t="shared" si="35"/>
        <v>38135548</v>
      </c>
      <c r="BT50" s="92">
        <f t="shared" si="35"/>
        <v>0</v>
      </c>
      <c r="BU50" s="92">
        <f t="shared" si="35"/>
        <v>0</v>
      </c>
      <c r="BV50" s="92">
        <f t="shared" si="35"/>
        <v>54834591</v>
      </c>
      <c r="BW50" s="92">
        <f t="shared" si="35"/>
        <v>443356813</v>
      </c>
      <c r="BX50" s="92">
        <f t="shared" si="35"/>
        <v>0</v>
      </c>
      <c r="BY50" s="92">
        <f t="shared" si="35"/>
        <v>198589928</v>
      </c>
      <c r="BZ50" s="92">
        <f t="shared" si="35"/>
        <v>34443416</v>
      </c>
      <c r="CA50" s="92">
        <f t="shared" si="35"/>
        <v>0</v>
      </c>
      <c r="CB50" s="92">
        <f t="shared" si="35"/>
        <v>8229333</v>
      </c>
      <c r="CC50" s="92">
        <f t="shared" si="35"/>
        <v>0</v>
      </c>
      <c r="CD50" s="92">
        <f t="shared" si="35"/>
        <v>119704927</v>
      </c>
      <c r="CE50" s="92">
        <f t="shared" si="35"/>
        <v>13.574875165593335</v>
      </c>
      <c r="CF50" s="92">
        <f t="shared" si="35"/>
        <v>5126063358</v>
      </c>
      <c r="CG50" s="92">
        <f t="shared" si="35"/>
        <v>0</v>
      </c>
      <c r="CH50" s="92">
        <f t="shared" si="35"/>
        <v>363019581</v>
      </c>
      <c r="CI50" s="92">
        <f t="shared" si="35"/>
        <v>0</v>
      </c>
      <c r="CJ50" s="92">
        <f t="shared" si="35"/>
        <v>0</v>
      </c>
      <c r="CK50" s="92">
        <f t="shared" si="35"/>
        <v>0</v>
      </c>
      <c r="CL50" s="92">
        <f t="shared" si="35"/>
        <v>0</v>
      </c>
      <c r="CM50" s="92">
        <f t="shared" si="35"/>
        <v>0</v>
      </c>
      <c r="CN50" s="92">
        <f t="shared" si="35"/>
        <v>1680122209</v>
      </c>
      <c r="CO50" s="92">
        <f t="shared" si="35"/>
        <v>20074931</v>
      </c>
      <c r="CP50" s="92">
        <f t="shared" si="35"/>
        <v>21592891</v>
      </c>
      <c r="CQ50" s="92">
        <f t="shared" si="35"/>
        <v>12174526</v>
      </c>
      <c r="CR50" s="92">
        <f t="shared" si="35"/>
        <v>0</v>
      </c>
      <c r="CS50" s="92">
        <f t="shared" si="35"/>
        <v>0</v>
      </c>
      <c r="CT50" s="92">
        <f t="shared" si="35"/>
        <v>0</v>
      </c>
      <c r="CU50" s="92">
        <f t="shared" ref="CU50:EB50" si="36">SUM(CU25:CU49)</f>
        <v>7513999</v>
      </c>
      <c r="CV50" s="92">
        <f t="shared" si="36"/>
        <v>1982267495</v>
      </c>
      <c r="CW50" s="92">
        <f t="shared" si="36"/>
        <v>0</v>
      </c>
      <c r="CX50" s="92">
        <f t="shared" si="36"/>
        <v>347973367</v>
      </c>
      <c r="CY50" s="92">
        <f t="shared" si="36"/>
        <v>45416665</v>
      </c>
      <c r="CZ50" s="92">
        <f t="shared" si="36"/>
        <v>0</v>
      </c>
      <c r="DA50" s="92">
        <f t="shared" si="36"/>
        <v>311472790</v>
      </c>
      <c r="DB50" s="92">
        <f t="shared" si="36"/>
        <v>0</v>
      </c>
      <c r="DC50" s="92">
        <f t="shared" si="36"/>
        <v>334434904</v>
      </c>
      <c r="DD50" s="92">
        <f t="shared" si="36"/>
        <v>11.425124834406665</v>
      </c>
      <c r="DE50" s="92">
        <f t="shared" si="36"/>
        <v>4083643722</v>
      </c>
      <c r="DF50" s="92">
        <f t="shared" si="36"/>
        <v>0</v>
      </c>
      <c r="DG50" s="92">
        <f t="shared" si="36"/>
        <v>114970336</v>
      </c>
      <c r="DH50" s="92">
        <f t="shared" si="36"/>
        <v>0</v>
      </c>
      <c r="DI50" s="92">
        <f t="shared" si="36"/>
        <v>0</v>
      </c>
      <c r="DJ50" s="92">
        <f t="shared" si="36"/>
        <v>0</v>
      </c>
      <c r="DK50" s="92">
        <f t="shared" si="36"/>
        <v>0</v>
      </c>
      <c r="DL50" s="92">
        <f t="shared" si="36"/>
        <v>0</v>
      </c>
      <c r="DM50" s="92">
        <f t="shared" si="36"/>
        <v>1726010362</v>
      </c>
      <c r="DN50" s="92">
        <f t="shared" si="36"/>
        <v>54925069</v>
      </c>
      <c r="DO50" s="92">
        <f t="shared" si="36"/>
        <v>158407109</v>
      </c>
      <c r="DP50" s="92">
        <f t="shared" si="36"/>
        <v>17825474</v>
      </c>
      <c r="DQ50" s="92">
        <f t="shared" si="36"/>
        <v>58135548</v>
      </c>
      <c r="DR50" s="92">
        <f t="shared" si="36"/>
        <v>0</v>
      </c>
      <c r="DS50" s="92">
        <f t="shared" si="36"/>
        <v>0</v>
      </c>
      <c r="DT50" s="92">
        <f t="shared" si="36"/>
        <v>97320592</v>
      </c>
      <c r="DU50" s="92">
        <f t="shared" si="36"/>
        <v>877886580</v>
      </c>
      <c r="DV50" s="92">
        <f t="shared" si="36"/>
        <v>0</v>
      </c>
      <c r="DW50" s="92">
        <f t="shared" si="36"/>
        <v>277026633</v>
      </c>
      <c r="DX50" s="92">
        <f t="shared" si="36"/>
        <v>346738504</v>
      </c>
      <c r="DY50" s="92">
        <f t="shared" si="36"/>
        <v>0</v>
      </c>
      <c r="DZ50" s="92">
        <f t="shared" si="36"/>
        <v>164523952</v>
      </c>
      <c r="EA50" s="92">
        <f t="shared" si="36"/>
        <v>0</v>
      </c>
      <c r="EB50" s="92">
        <f t="shared" si="36"/>
        <v>189873563</v>
      </c>
    </row>
    <row r="51" spans="1:132" ht="27.75" customHeight="1" thickTop="1" x14ac:dyDescent="0.25">
      <c r="A51" s="93" t="s">
        <v>169</v>
      </c>
      <c r="B51" s="94" t="s">
        <v>170</v>
      </c>
      <c r="C51" s="95" t="s">
        <v>171</v>
      </c>
      <c r="D51" s="54" t="s">
        <v>172</v>
      </c>
      <c r="E51" s="96">
        <v>520</v>
      </c>
      <c r="F51" s="56" t="s">
        <v>173</v>
      </c>
      <c r="G51" s="44">
        <f t="shared" ref="G51:G76" si="37">SUM(J51:AF51)</f>
        <v>33908250</v>
      </c>
      <c r="H51" s="45">
        <v>45000000</v>
      </c>
      <c r="I51" s="45">
        <f>H51-G51</f>
        <v>11091750</v>
      </c>
      <c r="J51" s="44"/>
      <c r="K51" s="44">
        <f>20000000+10000000-6091750</f>
        <v>23908250</v>
      </c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>
        <f>20000000-20000000</f>
        <v>0</v>
      </c>
      <c r="AB51" s="44"/>
      <c r="AC51" s="44"/>
      <c r="AD51" s="44"/>
      <c r="AE51" s="44"/>
      <c r="AF51" s="44">
        <f>6000000+4000000</f>
        <v>10000000</v>
      </c>
      <c r="AG51" s="79">
        <f t="shared" si="1"/>
        <v>0.80830623815738056</v>
      </c>
      <c r="AH51" s="80">
        <f t="shared" ref="AH51:AH114" si="38">SUM(AI51:BE51)</f>
        <v>27408250</v>
      </c>
      <c r="AI51" s="44"/>
      <c r="AJ51" s="80">
        <f>+'[2]Acuerdo PLAN INVERSIÓN 2021'!$J$2329</f>
        <v>23408250</v>
      </c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>
        <f>+'[6]Acuerdo PLAN INVERSIÓN 2021'!$AF$3368</f>
        <v>4000000</v>
      </c>
      <c r="BF51" s="79">
        <f t="shared" si="12"/>
        <v>0.19169376184261944</v>
      </c>
      <c r="BG51" s="44">
        <f t="shared" ref="BG51:BG76" si="39">SUM(BH51:CD51)</f>
        <v>6500000</v>
      </c>
      <c r="BH51" s="44">
        <f t="shared" ref="BH51:BW66" si="40">+J51-AI51</f>
        <v>0</v>
      </c>
      <c r="BI51" s="44">
        <f t="shared" si="40"/>
        <v>500000</v>
      </c>
      <c r="BJ51" s="44">
        <f t="shared" si="40"/>
        <v>0</v>
      </c>
      <c r="BK51" s="44">
        <f t="shared" si="40"/>
        <v>0</v>
      </c>
      <c r="BL51" s="44">
        <f t="shared" si="40"/>
        <v>0</v>
      </c>
      <c r="BM51" s="44">
        <f t="shared" si="40"/>
        <v>0</v>
      </c>
      <c r="BN51" s="44">
        <f t="shared" si="40"/>
        <v>0</v>
      </c>
      <c r="BO51" s="44">
        <f t="shared" si="40"/>
        <v>0</v>
      </c>
      <c r="BP51" s="44">
        <f t="shared" si="40"/>
        <v>0</v>
      </c>
      <c r="BQ51" s="44">
        <f t="shared" si="40"/>
        <v>0</v>
      </c>
      <c r="BR51" s="44">
        <f t="shared" si="40"/>
        <v>0</v>
      </c>
      <c r="BS51" s="44">
        <f t="shared" si="40"/>
        <v>0</v>
      </c>
      <c r="BT51" s="44">
        <f t="shared" si="40"/>
        <v>0</v>
      </c>
      <c r="BU51" s="44">
        <f t="shared" si="40"/>
        <v>0</v>
      </c>
      <c r="BV51" s="44">
        <f t="shared" si="40"/>
        <v>0</v>
      </c>
      <c r="BW51" s="44">
        <f t="shared" si="40"/>
        <v>0</v>
      </c>
      <c r="BX51" s="44">
        <f t="shared" ref="BX51:CD76" si="41">+Z51-AY51</f>
        <v>0</v>
      </c>
      <c r="BY51" s="44">
        <f t="shared" si="41"/>
        <v>0</v>
      </c>
      <c r="BZ51" s="44">
        <f t="shared" si="41"/>
        <v>0</v>
      </c>
      <c r="CA51" s="44">
        <f t="shared" si="41"/>
        <v>0</v>
      </c>
      <c r="CB51" s="44">
        <f t="shared" si="41"/>
        <v>0</v>
      </c>
      <c r="CC51" s="44">
        <f t="shared" si="41"/>
        <v>0</v>
      </c>
      <c r="CD51" s="44">
        <f t="shared" si="41"/>
        <v>6000000</v>
      </c>
      <c r="CE51" s="79">
        <f t="shared" ref="CE51:CE114" si="42">CF51/G51</f>
        <v>0.394749065492911</v>
      </c>
      <c r="CF51" s="44">
        <f t="shared" ref="CF51:CF114" si="43">SUM(CG51:DC51)</f>
        <v>13385250</v>
      </c>
      <c r="CG51" s="44"/>
      <c r="CH51" s="44">
        <f>+'[2]Acuerdo PLAN INVERSIÓN 2021'!$H$2327</f>
        <v>12885250</v>
      </c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>
        <f>+'[5]Acuerdo PLAN INVERSIÓN 2021'!$H$4037</f>
        <v>500000</v>
      </c>
      <c r="DD51" s="46">
        <f t="shared" si="8"/>
        <v>0.605250934507089</v>
      </c>
      <c r="DE51" s="44">
        <f t="shared" ref="DE51:DE96" si="44">SUM(DF51:EB51)</f>
        <v>20523000</v>
      </c>
      <c r="DF51" s="44">
        <f t="shared" ref="DF51:DU66" si="45">+J51-CG51</f>
        <v>0</v>
      </c>
      <c r="DG51" s="44">
        <f t="shared" si="45"/>
        <v>11023000</v>
      </c>
      <c r="DH51" s="44">
        <f t="shared" si="45"/>
        <v>0</v>
      </c>
      <c r="DI51" s="44">
        <f t="shared" si="45"/>
        <v>0</v>
      </c>
      <c r="DJ51" s="44">
        <f t="shared" si="45"/>
        <v>0</v>
      </c>
      <c r="DK51" s="44">
        <f t="shared" si="45"/>
        <v>0</v>
      </c>
      <c r="DL51" s="44">
        <f t="shared" si="45"/>
        <v>0</v>
      </c>
      <c r="DM51" s="44">
        <f t="shared" si="45"/>
        <v>0</v>
      </c>
      <c r="DN51" s="44">
        <f t="shared" si="45"/>
        <v>0</v>
      </c>
      <c r="DO51" s="44">
        <f t="shared" si="45"/>
        <v>0</v>
      </c>
      <c r="DP51" s="44">
        <f t="shared" si="45"/>
        <v>0</v>
      </c>
      <c r="DQ51" s="44">
        <f t="shared" si="45"/>
        <v>0</v>
      </c>
      <c r="DR51" s="44">
        <f t="shared" si="45"/>
        <v>0</v>
      </c>
      <c r="DS51" s="44">
        <f t="shared" si="45"/>
        <v>0</v>
      </c>
      <c r="DT51" s="44">
        <f t="shared" si="45"/>
        <v>0</v>
      </c>
      <c r="DU51" s="44">
        <f t="shared" si="45"/>
        <v>0</v>
      </c>
      <c r="DV51" s="44">
        <f t="shared" ref="DV51:EB76" si="46">+Z51-CW51</f>
        <v>0</v>
      </c>
      <c r="DW51" s="44">
        <f t="shared" si="46"/>
        <v>0</v>
      </c>
      <c r="DX51" s="44">
        <f t="shared" si="46"/>
        <v>0</v>
      </c>
      <c r="DY51" s="44">
        <f t="shared" si="46"/>
        <v>0</v>
      </c>
      <c r="DZ51" s="44">
        <f t="shared" si="46"/>
        <v>0</v>
      </c>
      <c r="EA51" s="44">
        <f t="shared" si="46"/>
        <v>0</v>
      </c>
      <c r="EB51" s="44">
        <f t="shared" si="46"/>
        <v>9500000</v>
      </c>
    </row>
    <row r="52" spans="1:132" ht="24.75" customHeight="1" x14ac:dyDescent="0.25">
      <c r="A52" s="97"/>
      <c r="B52" s="84"/>
      <c r="C52" s="59" t="s">
        <v>174</v>
      </c>
      <c r="D52" s="54" t="s">
        <v>175</v>
      </c>
      <c r="E52" s="42">
        <v>520</v>
      </c>
      <c r="F52" s="43" t="s">
        <v>176</v>
      </c>
      <c r="G52" s="44">
        <f t="shared" si="37"/>
        <v>60000000</v>
      </c>
      <c r="H52" s="45">
        <v>70000000</v>
      </c>
      <c r="I52" s="45">
        <f t="shared" ref="I52:I76" si="47">H52-G52</f>
        <v>10000000</v>
      </c>
      <c r="J52" s="44"/>
      <c r="K52" s="44">
        <f>20000000+10000000</f>
        <v>30000000</v>
      </c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>
        <f>30000000</f>
        <v>30000000</v>
      </c>
      <c r="AB52" s="44"/>
      <c r="AC52" s="44"/>
      <c r="AD52" s="44"/>
      <c r="AE52" s="44"/>
      <c r="AF52" s="44">
        <f>16000000-16000000</f>
        <v>0</v>
      </c>
      <c r="AG52" s="46">
        <f t="shared" si="1"/>
        <v>0.83333333333333337</v>
      </c>
      <c r="AH52" s="44">
        <f t="shared" si="38"/>
        <v>50000000</v>
      </c>
      <c r="AI52" s="44"/>
      <c r="AJ52" s="44">
        <f>+'[2]Acuerdo PLAN INVERSIÓN 2021'!$J$2349</f>
        <v>20000000</v>
      </c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>
        <f>+'[6]Acuerdo PLAN INVERSIÓN 2021'!$X$3390</f>
        <v>30000000</v>
      </c>
      <c r="BA52" s="44"/>
      <c r="BB52" s="44"/>
      <c r="BC52" s="44"/>
      <c r="BD52" s="44"/>
      <c r="BE52" s="44"/>
      <c r="BF52" s="46">
        <f t="shared" si="12"/>
        <v>0.16666666666666663</v>
      </c>
      <c r="BG52" s="44">
        <f t="shared" si="39"/>
        <v>10000000</v>
      </c>
      <c r="BH52" s="44">
        <f t="shared" si="40"/>
        <v>0</v>
      </c>
      <c r="BI52" s="44">
        <f t="shared" si="40"/>
        <v>10000000</v>
      </c>
      <c r="BJ52" s="44">
        <f t="shared" si="40"/>
        <v>0</v>
      </c>
      <c r="BK52" s="44">
        <f t="shared" si="40"/>
        <v>0</v>
      </c>
      <c r="BL52" s="44">
        <f t="shared" si="40"/>
        <v>0</v>
      </c>
      <c r="BM52" s="44">
        <f t="shared" si="40"/>
        <v>0</v>
      </c>
      <c r="BN52" s="44">
        <f t="shared" si="40"/>
        <v>0</v>
      </c>
      <c r="BO52" s="44">
        <f t="shared" si="40"/>
        <v>0</v>
      </c>
      <c r="BP52" s="44">
        <f t="shared" si="40"/>
        <v>0</v>
      </c>
      <c r="BQ52" s="44">
        <f t="shared" si="40"/>
        <v>0</v>
      </c>
      <c r="BR52" s="44">
        <f t="shared" si="40"/>
        <v>0</v>
      </c>
      <c r="BS52" s="44">
        <f t="shared" si="40"/>
        <v>0</v>
      </c>
      <c r="BT52" s="44">
        <f t="shared" si="40"/>
        <v>0</v>
      </c>
      <c r="BU52" s="44">
        <f t="shared" si="40"/>
        <v>0</v>
      </c>
      <c r="BV52" s="44">
        <f t="shared" si="40"/>
        <v>0</v>
      </c>
      <c r="BW52" s="44">
        <f t="shared" si="40"/>
        <v>0</v>
      </c>
      <c r="BX52" s="44">
        <f t="shared" si="41"/>
        <v>0</v>
      </c>
      <c r="BY52" s="44">
        <f t="shared" si="41"/>
        <v>0</v>
      </c>
      <c r="BZ52" s="44">
        <f t="shared" si="41"/>
        <v>0</v>
      </c>
      <c r="CA52" s="44">
        <f t="shared" si="41"/>
        <v>0</v>
      </c>
      <c r="CB52" s="44">
        <f t="shared" si="41"/>
        <v>0</v>
      </c>
      <c r="CC52" s="44">
        <f t="shared" si="41"/>
        <v>0</v>
      </c>
      <c r="CD52" s="44">
        <f t="shared" si="41"/>
        <v>0</v>
      </c>
      <c r="CE52" s="46">
        <f t="shared" si="42"/>
        <v>0.61724058333333331</v>
      </c>
      <c r="CF52" s="44">
        <f t="shared" si="43"/>
        <v>37034435</v>
      </c>
      <c r="CG52" s="44"/>
      <c r="CH52" s="44">
        <f>+'[8]Acuerdo PLAN INVERSIÓN 2021'!$H$657+'[7]Acuerdo PLAN INVERSIÓN 2021'!$H$1400+'[7]Acuerdo PLAN INVERSIÓN 2021'!$H$1403</f>
        <v>19999997</v>
      </c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>
        <f>+'[3]Acuerdo PLAN INVERSIÓN 2021'!$H$2006+'[3]Acuerdo PLAN INVERSIÓN 2021'!$H$2009</f>
        <v>17034438</v>
      </c>
      <c r="CY52" s="44"/>
      <c r="CZ52" s="44"/>
      <c r="DA52" s="44"/>
      <c r="DB52" s="44"/>
      <c r="DC52" s="44"/>
      <c r="DD52" s="46">
        <f t="shared" si="8"/>
        <v>0.38275941666666669</v>
      </c>
      <c r="DE52" s="44">
        <f t="shared" si="44"/>
        <v>22965565</v>
      </c>
      <c r="DF52" s="44">
        <f t="shared" si="45"/>
        <v>0</v>
      </c>
      <c r="DG52" s="44">
        <f t="shared" si="45"/>
        <v>10000003</v>
      </c>
      <c r="DH52" s="44">
        <f t="shared" si="45"/>
        <v>0</v>
      </c>
      <c r="DI52" s="44">
        <f t="shared" si="45"/>
        <v>0</v>
      </c>
      <c r="DJ52" s="44">
        <f t="shared" si="45"/>
        <v>0</v>
      </c>
      <c r="DK52" s="44">
        <f t="shared" si="45"/>
        <v>0</v>
      </c>
      <c r="DL52" s="44">
        <f t="shared" si="45"/>
        <v>0</v>
      </c>
      <c r="DM52" s="44">
        <f t="shared" si="45"/>
        <v>0</v>
      </c>
      <c r="DN52" s="44">
        <f t="shared" si="45"/>
        <v>0</v>
      </c>
      <c r="DO52" s="44">
        <f t="shared" si="45"/>
        <v>0</v>
      </c>
      <c r="DP52" s="44">
        <f t="shared" si="45"/>
        <v>0</v>
      </c>
      <c r="DQ52" s="44">
        <f t="shared" si="45"/>
        <v>0</v>
      </c>
      <c r="DR52" s="44">
        <f t="shared" si="45"/>
        <v>0</v>
      </c>
      <c r="DS52" s="44">
        <f t="shared" si="45"/>
        <v>0</v>
      </c>
      <c r="DT52" s="44">
        <f t="shared" si="45"/>
        <v>0</v>
      </c>
      <c r="DU52" s="44">
        <f t="shared" si="45"/>
        <v>0</v>
      </c>
      <c r="DV52" s="44">
        <f t="shared" si="46"/>
        <v>0</v>
      </c>
      <c r="DW52" s="44">
        <f t="shared" si="46"/>
        <v>12965562</v>
      </c>
      <c r="DX52" s="44">
        <f t="shared" si="46"/>
        <v>0</v>
      </c>
      <c r="DY52" s="44">
        <f t="shared" si="46"/>
        <v>0</v>
      </c>
      <c r="DZ52" s="44">
        <f t="shared" si="46"/>
        <v>0</v>
      </c>
      <c r="EA52" s="44">
        <f t="shared" si="46"/>
        <v>0</v>
      </c>
      <c r="EB52" s="44">
        <f t="shared" si="46"/>
        <v>0</v>
      </c>
    </row>
    <row r="53" spans="1:132" ht="21.6" customHeight="1" x14ac:dyDescent="0.25">
      <c r="A53" s="97"/>
      <c r="B53" s="84"/>
      <c r="C53" s="59" t="s">
        <v>177</v>
      </c>
      <c r="D53" s="54" t="s">
        <v>178</v>
      </c>
      <c r="E53" s="42">
        <v>520</v>
      </c>
      <c r="F53" s="43" t="s">
        <v>102</v>
      </c>
      <c r="G53" s="44">
        <f t="shared" si="37"/>
        <v>65000000</v>
      </c>
      <c r="H53" s="45">
        <v>55000000</v>
      </c>
      <c r="I53" s="45">
        <f t="shared" si="47"/>
        <v>-10000000</v>
      </c>
      <c r="J53" s="44"/>
      <c r="K53" s="44">
        <f>20000000+10000000-5000000</f>
        <v>25000000</v>
      </c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>
        <f>40000000</f>
        <v>40000000</v>
      </c>
      <c r="AB53" s="44"/>
      <c r="AC53" s="44"/>
      <c r="AD53" s="44"/>
      <c r="AE53" s="44"/>
      <c r="AF53" s="44"/>
      <c r="AG53" s="46">
        <f t="shared" si="1"/>
        <v>0.23076923076923078</v>
      </c>
      <c r="AH53" s="44">
        <f t="shared" si="38"/>
        <v>15000000</v>
      </c>
      <c r="AI53" s="44"/>
      <c r="AJ53" s="44">
        <f>+'[2]Acuerdo PLAN INVERSIÓN 2021'!$J$2374</f>
        <v>15000000</v>
      </c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6">
        <f t="shared" si="12"/>
        <v>0.76923076923076916</v>
      </c>
      <c r="BG53" s="44">
        <f t="shared" si="39"/>
        <v>50000000</v>
      </c>
      <c r="BH53" s="44">
        <f t="shared" si="40"/>
        <v>0</v>
      </c>
      <c r="BI53" s="44">
        <f t="shared" si="40"/>
        <v>10000000</v>
      </c>
      <c r="BJ53" s="44">
        <f t="shared" si="40"/>
        <v>0</v>
      </c>
      <c r="BK53" s="44">
        <f t="shared" si="40"/>
        <v>0</v>
      </c>
      <c r="BL53" s="44">
        <f t="shared" si="40"/>
        <v>0</v>
      </c>
      <c r="BM53" s="44">
        <f t="shared" si="40"/>
        <v>0</v>
      </c>
      <c r="BN53" s="44">
        <f t="shared" si="40"/>
        <v>0</v>
      </c>
      <c r="BO53" s="44">
        <f t="shared" si="40"/>
        <v>0</v>
      </c>
      <c r="BP53" s="44">
        <f t="shared" si="40"/>
        <v>0</v>
      </c>
      <c r="BQ53" s="44">
        <f t="shared" si="40"/>
        <v>0</v>
      </c>
      <c r="BR53" s="44">
        <f t="shared" si="40"/>
        <v>0</v>
      </c>
      <c r="BS53" s="44">
        <f t="shared" si="40"/>
        <v>0</v>
      </c>
      <c r="BT53" s="44">
        <f t="shared" si="40"/>
        <v>0</v>
      </c>
      <c r="BU53" s="44">
        <f t="shared" si="40"/>
        <v>0</v>
      </c>
      <c r="BV53" s="44">
        <f t="shared" si="40"/>
        <v>0</v>
      </c>
      <c r="BW53" s="44">
        <f t="shared" si="40"/>
        <v>0</v>
      </c>
      <c r="BX53" s="44">
        <f t="shared" si="41"/>
        <v>0</v>
      </c>
      <c r="BY53" s="44">
        <f t="shared" si="41"/>
        <v>40000000</v>
      </c>
      <c r="BZ53" s="44">
        <f t="shared" si="41"/>
        <v>0</v>
      </c>
      <c r="CA53" s="44">
        <f t="shared" si="41"/>
        <v>0</v>
      </c>
      <c r="CB53" s="44">
        <f t="shared" si="41"/>
        <v>0</v>
      </c>
      <c r="CC53" s="44">
        <f t="shared" si="41"/>
        <v>0</v>
      </c>
      <c r="CD53" s="44">
        <f t="shared" si="41"/>
        <v>0</v>
      </c>
      <c r="CE53" s="46">
        <f t="shared" si="42"/>
        <v>0.21538458461538462</v>
      </c>
      <c r="CF53" s="44">
        <f t="shared" si="43"/>
        <v>13999998</v>
      </c>
      <c r="CG53" s="44"/>
      <c r="CH53" s="44">
        <f>+'[6]Acuerdo PLAN INVERSIÓN 2021'!$H$3415</f>
        <v>13999998</v>
      </c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6">
        <f t="shared" si="8"/>
        <v>0.78461541538461543</v>
      </c>
      <c r="DE53" s="44">
        <f t="shared" si="44"/>
        <v>51000002</v>
      </c>
      <c r="DF53" s="44">
        <f t="shared" si="45"/>
        <v>0</v>
      </c>
      <c r="DG53" s="44">
        <f t="shared" si="45"/>
        <v>11000002</v>
      </c>
      <c r="DH53" s="44">
        <f t="shared" si="45"/>
        <v>0</v>
      </c>
      <c r="DI53" s="44">
        <f t="shared" si="45"/>
        <v>0</v>
      </c>
      <c r="DJ53" s="44">
        <f t="shared" si="45"/>
        <v>0</v>
      </c>
      <c r="DK53" s="44">
        <f t="shared" si="45"/>
        <v>0</v>
      </c>
      <c r="DL53" s="44">
        <f t="shared" si="45"/>
        <v>0</v>
      </c>
      <c r="DM53" s="44">
        <f t="shared" si="45"/>
        <v>0</v>
      </c>
      <c r="DN53" s="44">
        <f t="shared" si="45"/>
        <v>0</v>
      </c>
      <c r="DO53" s="44">
        <f t="shared" si="45"/>
        <v>0</v>
      </c>
      <c r="DP53" s="44">
        <f t="shared" si="45"/>
        <v>0</v>
      </c>
      <c r="DQ53" s="44">
        <f t="shared" si="45"/>
        <v>0</v>
      </c>
      <c r="DR53" s="44">
        <f t="shared" si="45"/>
        <v>0</v>
      </c>
      <c r="DS53" s="44">
        <f t="shared" si="45"/>
        <v>0</v>
      </c>
      <c r="DT53" s="44">
        <f t="shared" si="45"/>
        <v>0</v>
      </c>
      <c r="DU53" s="44">
        <f t="shared" si="45"/>
        <v>0</v>
      </c>
      <c r="DV53" s="44">
        <f t="shared" si="46"/>
        <v>0</v>
      </c>
      <c r="DW53" s="44">
        <f t="shared" si="46"/>
        <v>40000000</v>
      </c>
      <c r="DX53" s="44">
        <f t="shared" si="46"/>
        <v>0</v>
      </c>
      <c r="DY53" s="44">
        <f t="shared" si="46"/>
        <v>0</v>
      </c>
      <c r="DZ53" s="44">
        <f t="shared" si="46"/>
        <v>0</v>
      </c>
      <c r="EA53" s="44">
        <f t="shared" si="46"/>
        <v>0</v>
      </c>
      <c r="EB53" s="44">
        <f t="shared" si="46"/>
        <v>0</v>
      </c>
    </row>
    <row r="54" spans="1:132" ht="46.5" customHeight="1" x14ac:dyDescent="0.25">
      <c r="A54" s="97"/>
      <c r="B54" s="81"/>
      <c r="C54" s="62" t="s">
        <v>179</v>
      </c>
      <c r="D54" s="54" t="s">
        <v>180</v>
      </c>
      <c r="E54" s="55">
        <v>520</v>
      </c>
      <c r="F54" s="43" t="s">
        <v>181</v>
      </c>
      <c r="G54" s="44">
        <f t="shared" si="37"/>
        <v>88408777</v>
      </c>
      <c r="H54" s="45">
        <v>345000000</v>
      </c>
      <c r="I54" s="45">
        <f t="shared" si="47"/>
        <v>256591223</v>
      </c>
      <c r="J54" s="44"/>
      <c r="K54" s="44">
        <f>20000000+10000000</f>
        <v>30000000</v>
      </c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>
        <f>20000000</f>
        <v>20000000</v>
      </c>
      <c r="AB54" s="44"/>
      <c r="AC54" s="44"/>
      <c r="AD54" s="44"/>
      <c r="AE54" s="44"/>
      <c r="AF54" s="44">
        <f>32208777+1000000-10800000+4000000-10800000+12000000+10800000</f>
        <v>38408777</v>
      </c>
      <c r="AG54" s="46">
        <f t="shared" si="1"/>
        <v>0.54563722785125734</v>
      </c>
      <c r="AH54" s="44">
        <f t="shared" si="38"/>
        <v>48239120</v>
      </c>
      <c r="AI54" s="44"/>
      <c r="AJ54" s="44">
        <f>+'[7]Acuerdo PLAN INVERSIÓN 2021'!$J$1434</f>
        <v>20000000</v>
      </c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>
        <f>+'[6]Acuerdo PLAN INVERSIÓN 2021'!$AF$3436</f>
        <v>28239120</v>
      </c>
      <c r="BF54" s="46">
        <f t="shared" si="12"/>
        <v>0.45436277214874266</v>
      </c>
      <c r="BG54" s="44">
        <f t="shared" si="39"/>
        <v>40169657</v>
      </c>
      <c r="BH54" s="44">
        <f t="shared" si="40"/>
        <v>0</v>
      </c>
      <c r="BI54" s="44">
        <f t="shared" si="40"/>
        <v>10000000</v>
      </c>
      <c r="BJ54" s="44">
        <f t="shared" si="40"/>
        <v>0</v>
      </c>
      <c r="BK54" s="44">
        <f t="shared" si="40"/>
        <v>0</v>
      </c>
      <c r="BL54" s="44">
        <f t="shared" si="40"/>
        <v>0</v>
      </c>
      <c r="BM54" s="44">
        <f t="shared" si="40"/>
        <v>0</v>
      </c>
      <c r="BN54" s="44">
        <f t="shared" si="40"/>
        <v>0</v>
      </c>
      <c r="BO54" s="44">
        <f t="shared" si="40"/>
        <v>0</v>
      </c>
      <c r="BP54" s="44">
        <f t="shared" si="40"/>
        <v>0</v>
      </c>
      <c r="BQ54" s="44">
        <f t="shared" si="40"/>
        <v>0</v>
      </c>
      <c r="BR54" s="44">
        <f t="shared" si="40"/>
        <v>0</v>
      </c>
      <c r="BS54" s="44">
        <f t="shared" si="40"/>
        <v>0</v>
      </c>
      <c r="BT54" s="44">
        <f t="shared" si="40"/>
        <v>0</v>
      </c>
      <c r="BU54" s="44">
        <f t="shared" si="40"/>
        <v>0</v>
      </c>
      <c r="BV54" s="44">
        <f t="shared" si="40"/>
        <v>0</v>
      </c>
      <c r="BW54" s="44">
        <f t="shared" si="40"/>
        <v>0</v>
      </c>
      <c r="BX54" s="44">
        <f t="shared" si="41"/>
        <v>0</v>
      </c>
      <c r="BY54" s="44">
        <f t="shared" si="41"/>
        <v>20000000</v>
      </c>
      <c r="BZ54" s="44">
        <f t="shared" si="41"/>
        <v>0</v>
      </c>
      <c r="CA54" s="44">
        <f t="shared" si="41"/>
        <v>0</v>
      </c>
      <c r="CB54" s="44">
        <f t="shared" si="41"/>
        <v>0</v>
      </c>
      <c r="CC54" s="44">
        <f t="shared" si="41"/>
        <v>0</v>
      </c>
      <c r="CD54" s="44">
        <f t="shared" si="41"/>
        <v>10169657</v>
      </c>
      <c r="CE54" s="46">
        <f t="shared" si="42"/>
        <v>0.36583208248656124</v>
      </c>
      <c r="CF54" s="44">
        <f>SUM(CG54:DC54)</f>
        <v>32342767</v>
      </c>
      <c r="CG54" s="44"/>
      <c r="CH54" s="44">
        <f>+'[5]Acuerdo PLAN INVERSIÓN 2021'!$H$4089+'[5]Acuerdo PLAN INVERSIÓN 2021'!$H$4092+'[5]Acuerdo PLAN INVERSIÓN 2021'!$H$4098</f>
        <v>16413400</v>
      </c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>
        <f>+'[5]Acuerdo PLAN INVERSIÓN 2021'!$H$4095+'[5]Acuerdo PLAN INVERSIÓN 2021'!$H$4114+'[5]Acuerdo PLAN INVERSIÓN 2021'!$H$4117+'[5]Acuerdo PLAN INVERSIÓN 2021'!$H$4120+'[5]Acuerdo PLAN INVERSIÓN 2021'!$H$4123+'[5]Acuerdo PLAN INVERSIÓN 2021'!$H$4126+'[5]Acuerdo PLAN INVERSIÓN 2021'!$H$4136+'[5]Acuerdo PLAN INVERSIÓN 2021'!$H$4145+'[5]Acuerdo PLAN INVERSIÓN 2021'!$H$4148+'[5]Acuerdo PLAN INVERSIÓN 2021'!$H$4151</f>
        <v>15929367</v>
      </c>
      <c r="DD54" s="46">
        <f t="shared" si="8"/>
        <v>0.63416791751343871</v>
      </c>
      <c r="DE54" s="44">
        <f t="shared" si="44"/>
        <v>56066010</v>
      </c>
      <c r="DF54" s="44">
        <f t="shared" si="45"/>
        <v>0</v>
      </c>
      <c r="DG54" s="44">
        <f t="shared" si="45"/>
        <v>13586600</v>
      </c>
      <c r="DH54" s="44">
        <f t="shared" si="45"/>
        <v>0</v>
      </c>
      <c r="DI54" s="44">
        <f t="shared" si="45"/>
        <v>0</v>
      </c>
      <c r="DJ54" s="44">
        <f t="shared" si="45"/>
        <v>0</v>
      </c>
      <c r="DK54" s="44">
        <f t="shared" si="45"/>
        <v>0</v>
      </c>
      <c r="DL54" s="44">
        <f t="shared" si="45"/>
        <v>0</v>
      </c>
      <c r="DM54" s="44">
        <f t="shared" si="45"/>
        <v>0</v>
      </c>
      <c r="DN54" s="44">
        <f t="shared" si="45"/>
        <v>0</v>
      </c>
      <c r="DO54" s="44">
        <f t="shared" si="45"/>
        <v>0</v>
      </c>
      <c r="DP54" s="44">
        <f t="shared" si="45"/>
        <v>0</v>
      </c>
      <c r="DQ54" s="44">
        <f t="shared" si="45"/>
        <v>0</v>
      </c>
      <c r="DR54" s="44">
        <f t="shared" si="45"/>
        <v>0</v>
      </c>
      <c r="DS54" s="44">
        <f t="shared" si="45"/>
        <v>0</v>
      </c>
      <c r="DT54" s="44">
        <f t="shared" si="45"/>
        <v>0</v>
      </c>
      <c r="DU54" s="44">
        <f t="shared" si="45"/>
        <v>0</v>
      </c>
      <c r="DV54" s="44">
        <f t="shared" si="46"/>
        <v>0</v>
      </c>
      <c r="DW54" s="44">
        <f t="shared" si="46"/>
        <v>20000000</v>
      </c>
      <c r="DX54" s="44">
        <f t="shared" si="46"/>
        <v>0</v>
      </c>
      <c r="DY54" s="44">
        <f t="shared" si="46"/>
        <v>0</v>
      </c>
      <c r="DZ54" s="44">
        <f t="shared" si="46"/>
        <v>0</v>
      </c>
      <c r="EA54" s="44">
        <f t="shared" si="46"/>
        <v>0</v>
      </c>
      <c r="EB54" s="44">
        <f t="shared" si="46"/>
        <v>22479410</v>
      </c>
    </row>
    <row r="55" spans="1:132" ht="34.5" customHeight="1" x14ac:dyDescent="0.25">
      <c r="A55" s="97"/>
      <c r="B55" s="77" t="s">
        <v>182</v>
      </c>
      <c r="C55" s="62" t="s">
        <v>183</v>
      </c>
      <c r="D55" s="54" t="s">
        <v>184</v>
      </c>
      <c r="E55" s="42">
        <v>520</v>
      </c>
      <c r="F55" s="43" t="s">
        <v>150</v>
      </c>
      <c r="G55" s="44">
        <f t="shared" si="37"/>
        <v>157113664</v>
      </c>
      <c r="H55" s="45">
        <f>381000000+25000000</f>
        <v>406000000</v>
      </c>
      <c r="I55" s="45">
        <f t="shared" si="47"/>
        <v>248886336</v>
      </c>
      <c r="J55" s="44"/>
      <c r="K55" s="44">
        <f>90000000+10000000</f>
        <v>100000000</v>
      </c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>
        <f>20000000</f>
        <v>20000000</v>
      </c>
      <c r="AB55" s="44">
        <f>15000000</f>
        <v>15000000</v>
      </c>
      <c r="AC55" s="44"/>
      <c r="AD55" s="44"/>
      <c r="AE55" s="44"/>
      <c r="AF55" s="44">
        <f>22113664</f>
        <v>22113664</v>
      </c>
      <c r="AG55" s="46">
        <f t="shared" si="1"/>
        <v>0.99442017341025157</v>
      </c>
      <c r="AH55" s="44">
        <f t="shared" si="38"/>
        <v>156236997</v>
      </c>
      <c r="AI55" s="44"/>
      <c r="AJ55" s="44">
        <f>+'[4]Acuerdo PLAN INVERSIÓN 2021'!$J$1694</f>
        <v>100000000</v>
      </c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>
        <f>+'[4]Acuerdo PLAN INVERSIÓN 2021'!$X$1694</f>
        <v>19123333</v>
      </c>
      <c r="BA55" s="44">
        <f>+'[1]Acuerdo PLAN INVERSIÓN 2021'!$Y$2861</f>
        <v>15000000</v>
      </c>
      <c r="BB55" s="44"/>
      <c r="BC55" s="44"/>
      <c r="BD55" s="44"/>
      <c r="BE55" s="44">
        <f>+'[1]Acuerdo PLAN INVERSIÓN 2021'!$AF$2861</f>
        <v>22113664</v>
      </c>
      <c r="BF55" s="46">
        <f t="shared" si="12"/>
        <v>5.5798265897484267E-3</v>
      </c>
      <c r="BG55" s="44">
        <f t="shared" si="39"/>
        <v>876667</v>
      </c>
      <c r="BH55" s="44">
        <f t="shared" si="40"/>
        <v>0</v>
      </c>
      <c r="BI55" s="44">
        <f t="shared" si="40"/>
        <v>0</v>
      </c>
      <c r="BJ55" s="44">
        <f t="shared" si="40"/>
        <v>0</v>
      </c>
      <c r="BK55" s="44">
        <f t="shared" si="40"/>
        <v>0</v>
      </c>
      <c r="BL55" s="44">
        <f t="shared" si="40"/>
        <v>0</v>
      </c>
      <c r="BM55" s="44">
        <f t="shared" si="40"/>
        <v>0</v>
      </c>
      <c r="BN55" s="44">
        <f t="shared" si="40"/>
        <v>0</v>
      </c>
      <c r="BO55" s="44">
        <f t="shared" si="40"/>
        <v>0</v>
      </c>
      <c r="BP55" s="44">
        <f t="shared" si="40"/>
        <v>0</v>
      </c>
      <c r="BQ55" s="44">
        <f t="shared" si="40"/>
        <v>0</v>
      </c>
      <c r="BR55" s="44">
        <f t="shared" si="40"/>
        <v>0</v>
      </c>
      <c r="BS55" s="44">
        <f t="shared" si="40"/>
        <v>0</v>
      </c>
      <c r="BT55" s="44">
        <f t="shared" si="40"/>
        <v>0</v>
      </c>
      <c r="BU55" s="44">
        <f t="shared" si="40"/>
        <v>0</v>
      </c>
      <c r="BV55" s="44">
        <f t="shared" si="40"/>
        <v>0</v>
      </c>
      <c r="BW55" s="44">
        <f t="shared" si="40"/>
        <v>0</v>
      </c>
      <c r="BX55" s="44">
        <f t="shared" si="41"/>
        <v>0</v>
      </c>
      <c r="BY55" s="44">
        <f t="shared" si="41"/>
        <v>876667</v>
      </c>
      <c r="BZ55" s="44">
        <f t="shared" si="41"/>
        <v>0</v>
      </c>
      <c r="CA55" s="44">
        <f t="shared" si="41"/>
        <v>0</v>
      </c>
      <c r="CB55" s="44">
        <f t="shared" si="41"/>
        <v>0</v>
      </c>
      <c r="CC55" s="44">
        <f t="shared" si="41"/>
        <v>0</v>
      </c>
      <c r="CD55" s="44">
        <f t="shared" si="41"/>
        <v>0</v>
      </c>
      <c r="CE55" s="46">
        <f t="shared" si="42"/>
        <v>0.9302861971317784</v>
      </c>
      <c r="CF55" s="44">
        <f t="shared" si="43"/>
        <v>146160673</v>
      </c>
      <c r="CG55" s="44"/>
      <c r="CH55" s="44">
        <f>+'[5]Acuerdo PLAN INVERSIÓN 2021'!$H$4158+'[5]Acuerdo PLAN INVERSIÓN 2021'!$H$4161+'[5]Acuerdo PLAN INVERSIÓN 2021'!$H$4168+'[5]Acuerdo PLAN INVERSIÓN 2021'!$H$4179+'[5]Acuerdo PLAN INVERSIÓN 2021'!$H$4190+'[5]Acuerdo PLAN INVERSIÓN 2021'!$H$4201</f>
        <v>98787344</v>
      </c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>
        <f>+'[5]Acuerdo PLAN INVERSIÓN 2021'!$H$4206</f>
        <v>19123330</v>
      </c>
      <c r="CY55" s="44">
        <f>+'[5]Acuerdo PLAN INVERSIÓN 2021'!$H$4215</f>
        <v>6599999</v>
      </c>
      <c r="CZ55" s="44"/>
      <c r="DA55" s="44"/>
      <c r="DB55" s="44"/>
      <c r="DC55" s="44">
        <f>+'[5]Acuerdo PLAN INVERSIÓN 2021'!$H$4212</f>
        <v>21650000</v>
      </c>
      <c r="DD55" s="46">
        <f t="shared" si="8"/>
        <v>6.9713802868221597E-2</v>
      </c>
      <c r="DE55" s="44">
        <f t="shared" si="44"/>
        <v>10952991</v>
      </c>
      <c r="DF55" s="44">
        <f t="shared" si="45"/>
        <v>0</v>
      </c>
      <c r="DG55" s="44">
        <f t="shared" si="45"/>
        <v>1212656</v>
      </c>
      <c r="DH55" s="44">
        <f t="shared" si="45"/>
        <v>0</v>
      </c>
      <c r="DI55" s="44">
        <f t="shared" si="45"/>
        <v>0</v>
      </c>
      <c r="DJ55" s="44">
        <f t="shared" si="45"/>
        <v>0</v>
      </c>
      <c r="DK55" s="44">
        <f t="shared" si="45"/>
        <v>0</v>
      </c>
      <c r="DL55" s="44">
        <f t="shared" si="45"/>
        <v>0</v>
      </c>
      <c r="DM55" s="44">
        <f t="shared" si="45"/>
        <v>0</v>
      </c>
      <c r="DN55" s="44">
        <f t="shared" si="45"/>
        <v>0</v>
      </c>
      <c r="DO55" s="44">
        <f t="shared" si="45"/>
        <v>0</v>
      </c>
      <c r="DP55" s="44">
        <f t="shared" si="45"/>
        <v>0</v>
      </c>
      <c r="DQ55" s="44">
        <f t="shared" si="45"/>
        <v>0</v>
      </c>
      <c r="DR55" s="44">
        <f t="shared" si="45"/>
        <v>0</v>
      </c>
      <c r="DS55" s="44">
        <f t="shared" si="45"/>
        <v>0</v>
      </c>
      <c r="DT55" s="44">
        <f t="shared" si="45"/>
        <v>0</v>
      </c>
      <c r="DU55" s="44">
        <f t="shared" si="45"/>
        <v>0</v>
      </c>
      <c r="DV55" s="44">
        <f t="shared" si="46"/>
        <v>0</v>
      </c>
      <c r="DW55" s="44">
        <f t="shared" si="46"/>
        <v>876670</v>
      </c>
      <c r="DX55" s="44">
        <f t="shared" si="46"/>
        <v>8400001</v>
      </c>
      <c r="DY55" s="44">
        <f t="shared" si="46"/>
        <v>0</v>
      </c>
      <c r="DZ55" s="44">
        <f t="shared" si="46"/>
        <v>0</v>
      </c>
      <c r="EA55" s="44">
        <f t="shared" si="46"/>
        <v>0</v>
      </c>
      <c r="EB55" s="44">
        <f t="shared" si="46"/>
        <v>463664</v>
      </c>
    </row>
    <row r="56" spans="1:132" ht="23.25" customHeight="1" x14ac:dyDescent="0.25">
      <c r="A56" s="97"/>
      <c r="B56" s="84"/>
      <c r="C56" s="59" t="s">
        <v>185</v>
      </c>
      <c r="D56" s="41" t="s">
        <v>186</v>
      </c>
      <c r="E56" s="42">
        <v>520</v>
      </c>
      <c r="F56" s="43" t="s">
        <v>102</v>
      </c>
      <c r="G56" s="44">
        <f t="shared" si="37"/>
        <v>78500000</v>
      </c>
      <c r="H56" s="45">
        <v>144500000</v>
      </c>
      <c r="I56" s="45">
        <f t="shared" si="47"/>
        <v>66000000</v>
      </c>
      <c r="J56" s="44"/>
      <c r="K56" s="44">
        <f>30000000+20000000</f>
        <v>50000000</v>
      </c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>
        <f>20000000</f>
        <v>20000000</v>
      </c>
      <c r="AB56" s="44">
        <f>8500000</f>
        <v>8500000</v>
      </c>
      <c r="AC56" s="44"/>
      <c r="AD56" s="44"/>
      <c r="AE56" s="44"/>
      <c r="AF56" s="44"/>
      <c r="AG56" s="46">
        <f t="shared" si="1"/>
        <v>0.9448786114649681</v>
      </c>
      <c r="AH56" s="44">
        <f t="shared" si="38"/>
        <v>74172971</v>
      </c>
      <c r="AI56" s="44"/>
      <c r="AJ56" s="44">
        <f>+'[4]Acuerdo PLAN INVERSIÓN 2021'!$J$1729</f>
        <v>50000000</v>
      </c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>
        <f>+'[3]Acuerdo PLAN INVERSIÓN 2021'!$X$2108</f>
        <v>15672971</v>
      </c>
      <c r="BA56" s="44">
        <f>+'[1]Acuerdo PLAN INVERSIÓN 2021'!$Y$2922</f>
        <v>8500000</v>
      </c>
      <c r="BB56" s="44"/>
      <c r="BC56" s="44"/>
      <c r="BD56" s="44"/>
      <c r="BE56" s="44"/>
      <c r="BF56" s="46">
        <f t="shared" si="12"/>
        <v>5.5121388535031901E-2</v>
      </c>
      <c r="BG56" s="44">
        <f t="shared" si="39"/>
        <v>4327029</v>
      </c>
      <c r="BH56" s="44">
        <f t="shared" si="40"/>
        <v>0</v>
      </c>
      <c r="BI56" s="44">
        <f t="shared" si="40"/>
        <v>0</v>
      </c>
      <c r="BJ56" s="44">
        <f t="shared" si="40"/>
        <v>0</v>
      </c>
      <c r="BK56" s="44">
        <f t="shared" si="40"/>
        <v>0</v>
      </c>
      <c r="BL56" s="44">
        <f t="shared" si="40"/>
        <v>0</v>
      </c>
      <c r="BM56" s="44">
        <f t="shared" si="40"/>
        <v>0</v>
      </c>
      <c r="BN56" s="44">
        <f t="shared" si="40"/>
        <v>0</v>
      </c>
      <c r="BO56" s="44">
        <f t="shared" si="40"/>
        <v>0</v>
      </c>
      <c r="BP56" s="44">
        <f t="shared" si="40"/>
        <v>0</v>
      </c>
      <c r="BQ56" s="44">
        <f t="shared" si="40"/>
        <v>0</v>
      </c>
      <c r="BR56" s="44">
        <f t="shared" si="40"/>
        <v>0</v>
      </c>
      <c r="BS56" s="44">
        <f t="shared" si="40"/>
        <v>0</v>
      </c>
      <c r="BT56" s="44">
        <f t="shared" si="40"/>
        <v>0</v>
      </c>
      <c r="BU56" s="44">
        <f t="shared" si="40"/>
        <v>0</v>
      </c>
      <c r="BV56" s="44">
        <f t="shared" si="40"/>
        <v>0</v>
      </c>
      <c r="BW56" s="44">
        <f t="shared" si="40"/>
        <v>0</v>
      </c>
      <c r="BX56" s="44">
        <f t="shared" si="41"/>
        <v>0</v>
      </c>
      <c r="BY56" s="44">
        <f t="shared" si="41"/>
        <v>4327029</v>
      </c>
      <c r="BZ56" s="44">
        <f t="shared" si="41"/>
        <v>0</v>
      </c>
      <c r="CA56" s="44">
        <f t="shared" si="41"/>
        <v>0</v>
      </c>
      <c r="CB56" s="44">
        <f t="shared" si="41"/>
        <v>0</v>
      </c>
      <c r="CC56" s="44">
        <f t="shared" si="41"/>
        <v>0</v>
      </c>
      <c r="CD56" s="44">
        <f t="shared" si="41"/>
        <v>0</v>
      </c>
      <c r="CE56" s="46">
        <f t="shared" si="42"/>
        <v>0.89592312101910832</v>
      </c>
      <c r="CF56" s="44">
        <f t="shared" si="43"/>
        <v>70329965</v>
      </c>
      <c r="CG56" s="44"/>
      <c r="CH56" s="44">
        <f>+'[4]Acuerdo PLAN INVERSIÓN 2021'!$H$1730+'[4]Acuerdo PLAN INVERSIÓN 2021'!$H$1735+'[4]Acuerdo PLAN INVERSIÓN 2021'!$H$1742</f>
        <v>49999994</v>
      </c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>
        <f>+'[6]Acuerdo PLAN INVERSIÓN 2021'!$H$3561</f>
        <v>15399971</v>
      </c>
      <c r="CY56" s="44">
        <f>+'[6]Acuerdo PLAN INVERSIÓN 2021'!$H$3571</f>
        <v>4930000</v>
      </c>
      <c r="CZ56" s="44"/>
      <c r="DA56" s="44"/>
      <c r="DB56" s="44"/>
      <c r="DC56" s="44"/>
      <c r="DD56" s="46">
        <f t="shared" si="8"/>
        <v>0.10407687898089168</v>
      </c>
      <c r="DE56" s="44">
        <f t="shared" si="44"/>
        <v>8170035</v>
      </c>
      <c r="DF56" s="44">
        <f t="shared" si="45"/>
        <v>0</v>
      </c>
      <c r="DG56" s="44">
        <f t="shared" si="45"/>
        <v>6</v>
      </c>
      <c r="DH56" s="44">
        <f t="shared" si="45"/>
        <v>0</v>
      </c>
      <c r="DI56" s="44">
        <f t="shared" si="45"/>
        <v>0</v>
      </c>
      <c r="DJ56" s="44">
        <f t="shared" si="45"/>
        <v>0</v>
      </c>
      <c r="DK56" s="44">
        <f t="shared" si="45"/>
        <v>0</v>
      </c>
      <c r="DL56" s="44">
        <f t="shared" si="45"/>
        <v>0</v>
      </c>
      <c r="DM56" s="44">
        <f t="shared" si="45"/>
        <v>0</v>
      </c>
      <c r="DN56" s="44">
        <f t="shared" si="45"/>
        <v>0</v>
      </c>
      <c r="DO56" s="44">
        <f t="shared" si="45"/>
        <v>0</v>
      </c>
      <c r="DP56" s="44">
        <f t="shared" si="45"/>
        <v>0</v>
      </c>
      <c r="DQ56" s="44">
        <f t="shared" si="45"/>
        <v>0</v>
      </c>
      <c r="DR56" s="44">
        <f t="shared" si="45"/>
        <v>0</v>
      </c>
      <c r="DS56" s="44">
        <f t="shared" si="45"/>
        <v>0</v>
      </c>
      <c r="DT56" s="44">
        <f t="shared" si="45"/>
        <v>0</v>
      </c>
      <c r="DU56" s="44">
        <f t="shared" si="45"/>
        <v>0</v>
      </c>
      <c r="DV56" s="44">
        <f t="shared" si="46"/>
        <v>0</v>
      </c>
      <c r="DW56" s="44">
        <f t="shared" si="46"/>
        <v>4600029</v>
      </c>
      <c r="DX56" s="44">
        <f t="shared" si="46"/>
        <v>3570000</v>
      </c>
      <c r="DY56" s="44">
        <f t="shared" si="46"/>
        <v>0</v>
      </c>
      <c r="DZ56" s="44">
        <f t="shared" si="46"/>
        <v>0</v>
      </c>
      <c r="EA56" s="44">
        <f t="shared" si="46"/>
        <v>0</v>
      </c>
      <c r="EB56" s="44">
        <f t="shared" si="46"/>
        <v>0</v>
      </c>
    </row>
    <row r="57" spans="1:132" ht="42.75" customHeight="1" x14ac:dyDescent="0.25">
      <c r="A57" s="97"/>
      <c r="B57" s="84"/>
      <c r="C57" s="59" t="s">
        <v>187</v>
      </c>
      <c r="D57" s="41" t="s">
        <v>188</v>
      </c>
      <c r="E57" s="42">
        <v>520</v>
      </c>
      <c r="F57" s="43" t="s">
        <v>102</v>
      </c>
      <c r="G57" s="44">
        <f t="shared" si="37"/>
        <v>25222055</v>
      </c>
      <c r="H57" s="45">
        <v>120606750</v>
      </c>
      <c r="I57" s="45">
        <f t="shared" si="47"/>
        <v>95384695</v>
      </c>
      <c r="J57" s="44"/>
      <c r="K57" s="44">
        <f>30000000-4777945</f>
        <v>25222055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6">
        <f t="shared" si="1"/>
        <v>1</v>
      </c>
      <c r="AH57" s="44">
        <f t="shared" si="38"/>
        <v>25222055</v>
      </c>
      <c r="AI57" s="44"/>
      <c r="AJ57" s="44">
        <f>+'[4]Acuerdo PLAN INVERSIÓN 2021'!$J$1749</f>
        <v>25222055</v>
      </c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6">
        <f t="shared" si="12"/>
        <v>0</v>
      </c>
      <c r="BG57" s="44">
        <f t="shared" si="39"/>
        <v>0</v>
      </c>
      <c r="BH57" s="44">
        <f t="shared" si="40"/>
        <v>0</v>
      </c>
      <c r="BI57" s="44">
        <f t="shared" si="40"/>
        <v>0</v>
      </c>
      <c r="BJ57" s="44">
        <f t="shared" si="40"/>
        <v>0</v>
      </c>
      <c r="BK57" s="44">
        <f t="shared" si="40"/>
        <v>0</v>
      </c>
      <c r="BL57" s="44">
        <f t="shared" si="40"/>
        <v>0</v>
      </c>
      <c r="BM57" s="44">
        <f t="shared" si="40"/>
        <v>0</v>
      </c>
      <c r="BN57" s="44">
        <f t="shared" si="40"/>
        <v>0</v>
      </c>
      <c r="BO57" s="44">
        <f t="shared" si="40"/>
        <v>0</v>
      </c>
      <c r="BP57" s="44">
        <f t="shared" si="40"/>
        <v>0</v>
      </c>
      <c r="BQ57" s="44">
        <f t="shared" si="40"/>
        <v>0</v>
      </c>
      <c r="BR57" s="44">
        <f t="shared" si="40"/>
        <v>0</v>
      </c>
      <c r="BS57" s="44">
        <f t="shared" si="40"/>
        <v>0</v>
      </c>
      <c r="BT57" s="44">
        <f t="shared" si="40"/>
        <v>0</v>
      </c>
      <c r="BU57" s="44">
        <f t="shared" si="40"/>
        <v>0</v>
      </c>
      <c r="BV57" s="44">
        <f t="shared" si="40"/>
        <v>0</v>
      </c>
      <c r="BW57" s="44">
        <f t="shared" si="40"/>
        <v>0</v>
      </c>
      <c r="BX57" s="44">
        <f t="shared" si="41"/>
        <v>0</v>
      </c>
      <c r="BY57" s="44">
        <f t="shared" si="41"/>
        <v>0</v>
      </c>
      <c r="BZ57" s="44">
        <f t="shared" si="41"/>
        <v>0</v>
      </c>
      <c r="CA57" s="44">
        <f t="shared" si="41"/>
        <v>0</v>
      </c>
      <c r="CB57" s="44">
        <f t="shared" si="41"/>
        <v>0</v>
      </c>
      <c r="CC57" s="44">
        <f t="shared" si="41"/>
        <v>0</v>
      </c>
      <c r="CD57" s="44">
        <f t="shared" si="41"/>
        <v>0</v>
      </c>
      <c r="CE57" s="46">
        <f t="shared" si="42"/>
        <v>0.99712097210159922</v>
      </c>
      <c r="CF57" s="44">
        <f t="shared" si="43"/>
        <v>25149440</v>
      </c>
      <c r="CG57" s="44"/>
      <c r="CH57" s="44">
        <f>+'[3]Acuerdo PLAN INVERSIÓN 2021'!$H$2129+'[3]Acuerdo PLAN INVERSIÓN 2021'!$H$2132</f>
        <v>25149440</v>
      </c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6">
        <f t="shared" si="8"/>
        <v>2.8790278984007767E-3</v>
      </c>
      <c r="DE57" s="44">
        <f t="shared" si="44"/>
        <v>72615</v>
      </c>
      <c r="DF57" s="44">
        <f t="shared" si="45"/>
        <v>0</v>
      </c>
      <c r="DG57" s="44">
        <f t="shared" si="45"/>
        <v>72615</v>
      </c>
      <c r="DH57" s="44">
        <f t="shared" si="45"/>
        <v>0</v>
      </c>
      <c r="DI57" s="44">
        <f t="shared" si="45"/>
        <v>0</v>
      </c>
      <c r="DJ57" s="44">
        <f t="shared" si="45"/>
        <v>0</v>
      </c>
      <c r="DK57" s="44">
        <f t="shared" si="45"/>
        <v>0</v>
      </c>
      <c r="DL57" s="44">
        <f t="shared" si="45"/>
        <v>0</v>
      </c>
      <c r="DM57" s="44">
        <f t="shared" si="45"/>
        <v>0</v>
      </c>
      <c r="DN57" s="44">
        <f t="shared" si="45"/>
        <v>0</v>
      </c>
      <c r="DO57" s="44">
        <f t="shared" si="45"/>
        <v>0</v>
      </c>
      <c r="DP57" s="44">
        <f t="shared" si="45"/>
        <v>0</v>
      </c>
      <c r="DQ57" s="44">
        <f t="shared" si="45"/>
        <v>0</v>
      </c>
      <c r="DR57" s="44">
        <f t="shared" si="45"/>
        <v>0</v>
      </c>
      <c r="DS57" s="44">
        <f t="shared" si="45"/>
        <v>0</v>
      </c>
      <c r="DT57" s="44">
        <f t="shared" si="45"/>
        <v>0</v>
      </c>
      <c r="DU57" s="44">
        <f t="shared" si="45"/>
        <v>0</v>
      </c>
      <c r="DV57" s="44">
        <f t="shared" si="46"/>
        <v>0</v>
      </c>
      <c r="DW57" s="44">
        <f t="shared" si="46"/>
        <v>0</v>
      </c>
      <c r="DX57" s="44">
        <f t="shared" si="46"/>
        <v>0</v>
      </c>
      <c r="DY57" s="44">
        <f t="shared" si="46"/>
        <v>0</v>
      </c>
      <c r="DZ57" s="44">
        <f t="shared" si="46"/>
        <v>0</v>
      </c>
      <c r="EA57" s="44">
        <f t="shared" si="46"/>
        <v>0</v>
      </c>
      <c r="EB57" s="44">
        <f t="shared" si="46"/>
        <v>0</v>
      </c>
    </row>
    <row r="58" spans="1:132" ht="35.450000000000003" customHeight="1" x14ac:dyDescent="0.25">
      <c r="A58" s="97"/>
      <c r="B58" s="84"/>
      <c r="C58" s="59" t="s">
        <v>189</v>
      </c>
      <c r="D58" s="41" t="s">
        <v>190</v>
      </c>
      <c r="E58" s="42">
        <v>520</v>
      </c>
      <c r="F58" s="43" t="s">
        <v>102</v>
      </c>
      <c r="G58" s="44">
        <f t="shared" si="37"/>
        <v>45000000</v>
      </c>
      <c r="H58" s="45">
        <v>57321000</v>
      </c>
      <c r="I58" s="45">
        <f t="shared" si="47"/>
        <v>12321000</v>
      </c>
      <c r="J58" s="44"/>
      <c r="K58" s="44">
        <f>20000000+15000000</f>
        <v>35000000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>
        <f>10000000</f>
        <v>10000000</v>
      </c>
      <c r="AB58" s="44"/>
      <c r="AC58" s="44"/>
      <c r="AD58" s="44"/>
      <c r="AE58" s="44"/>
      <c r="AF58" s="44"/>
      <c r="AG58" s="46">
        <f t="shared" si="1"/>
        <v>0.97870000000000001</v>
      </c>
      <c r="AH58" s="44">
        <f t="shared" si="38"/>
        <v>44041500</v>
      </c>
      <c r="AI58" s="44"/>
      <c r="AJ58" s="44">
        <f>+'[4]Acuerdo PLAN INVERSIÓN 2021'!$J$1757</f>
        <v>34041500</v>
      </c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>
        <f>+'[4]Acuerdo PLAN INVERSIÓN 2021'!$X$1757</f>
        <v>10000000</v>
      </c>
      <c r="BA58" s="44"/>
      <c r="BB58" s="44"/>
      <c r="BC58" s="44"/>
      <c r="BD58" s="44"/>
      <c r="BE58" s="44"/>
      <c r="BF58" s="46">
        <f t="shared" si="12"/>
        <v>2.1299999999999986E-2</v>
      </c>
      <c r="BG58" s="44">
        <f t="shared" si="39"/>
        <v>958500</v>
      </c>
      <c r="BH58" s="44">
        <f t="shared" si="40"/>
        <v>0</v>
      </c>
      <c r="BI58" s="44">
        <f t="shared" si="40"/>
        <v>958500</v>
      </c>
      <c r="BJ58" s="44">
        <f t="shared" si="40"/>
        <v>0</v>
      </c>
      <c r="BK58" s="44">
        <f t="shared" si="40"/>
        <v>0</v>
      </c>
      <c r="BL58" s="44">
        <f t="shared" si="40"/>
        <v>0</v>
      </c>
      <c r="BM58" s="44">
        <f t="shared" si="40"/>
        <v>0</v>
      </c>
      <c r="BN58" s="44">
        <f t="shared" si="40"/>
        <v>0</v>
      </c>
      <c r="BO58" s="44">
        <f t="shared" si="40"/>
        <v>0</v>
      </c>
      <c r="BP58" s="44">
        <f t="shared" si="40"/>
        <v>0</v>
      </c>
      <c r="BQ58" s="44">
        <f t="shared" si="40"/>
        <v>0</v>
      </c>
      <c r="BR58" s="44">
        <f t="shared" si="40"/>
        <v>0</v>
      </c>
      <c r="BS58" s="44">
        <f t="shared" si="40"/>
        <v>0</v>
      </c>
      <c r="BT58" s="44">
        <f t="shared" si="40"/>
        <v>0</v>
      </c>
      <c r="BU58" s="44">
        <f t="shared" si="40"/>
        <v>0</v>
      </c>
      <c r="BV58" s="44">
        <f t="shared" si="40"/>
        <v>0</v>
      </c>
      <c r="BW58" s="44">
        <f t="shared" si="40"/>
        <v>0</v>
      </c>
      <c r="BX58" s="44">
        <f t="shared" si="41"/>
        <v>0</v>
      </c>
      <c r="BY58" s="44">
        <f t="shared" si="41"/>
        <v>0</v>
      </c>
      <c r="BZ58" s="44">
        <f t="shared" si="41"/>
        <v>0</v>
      </c>
      <c r="CA58" s="44">
        <f t="shared" si="41"/>
        <v>0</v>
      </c>
      <c r="CB58" s="44">
        <f t="shared" si="41"/>
        <v>0</v>
      </c>
      <c r="CC58" s="44">
        <f t="shared" si="41"/>
        <v>0</v>
      </c>
      <c r="CD58" s="44">
        <f t="shared" si="41"/>
        <v>0</v>
      </c>
      <c r="CE58" s="46">
        <f t="shared" si="42"/>
        <v>0.97834746666666672</v>
      </c>
      <c r="CF58" s="44">
        <f t="shared" si="43"/>
        <v>44025636</v>
      </c>
      <c r="CG58" s="44"/>
      <c r="CH58" s="44">
        <f>+'[3]Acuerdo PLAN INVERSIÓN 2021'!$H$2139+'[3]Acuerdo PLAN INVERSIÓN 2021'!$H$2148+'[3]Acuerdo PLAN INVERSIÓN 2021'!$H$2151+'[3]Acuerdo PLAN INVERSIÓN 2021'!$H$2157</f>
        <v>34030584</v>
      </c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>
        <f>+'[3]Acuerdo PLAN INVERSIÓN 2021'!$H$2154</f>
        <v>9995052</v>
      </c>
      <c r="CY58" s="44"/>
      <c r="CZ58" s="44"/>
      <c r="DA58" s="44"/>
      <c r="DB58" s="44"/>
      <c r="DC58" s="44"/>
      <c r="DD58" s="46">
        <f t="shared" si="8"/>
        <v>2.1652533333333279E-2</v>
      </c>
      <c r="DE58" s="44">
        <f t="shared" si="44"/>
        <v>974364</v>
      </c>
      <c r="DF58" s="44">
        <f t="shared" si="45"/>
        <v>0</v>
      </c>
      <c r="DG58" s="44">
        <f t="shared" si="45"/>
        <v>969416</v>
      </c>
      <c r="DH58" s="44">
        <f t="shared" si="45"/>
        <v>0</v>
      </c>
      <c r="DI58" s="44">
        <f t="shared" si="45"/>
        <v>0</v>
      </c>
      <c r="DJ58" s="44">
        <f t="shared" si="45"/>
        <v>0</v>
      </c>
      <c r="DK58" s="44">
        <f t="shared" si="45"/>
        <v>0</v>
      </c>
      <c r="DL58" s="44">
        <f t="shared" si="45"/>
        <v>0</v>
      </c>
      <c r="DM58" s="44">
        <f t="shared" si="45"/>
        <v>0</v>
      </c>
      <c r="DN58" s="44">
        <f t="shared" si="45"/>
        <v>0</v>
      </c>
      <c r="DO58" s="44">
        <f t="shared" si="45"/>
        <v>0</v>
      </c>
      <c r="DP58" s="44">
        <f t="shared" si="45"/>
        <v>0</v>
      </c>
      <c r="DQ58" s="44">
        <f t="shared" si="45"/>
        <v>0</v>
      </c>
      <c r="DR58" s="44">
        <f t="shared" si="45"/>
        <v>0</v>
      </c>
      <c r="DS58" s="44">
        <f t="shared" si="45"/>
        <v>0</v>
      </c>
      <c r="DT58" s="44">
        <f t="shared" si="45"/>
        <v>0</v>
      </c>
      <c r="DU58" s="44">
        <f t="shared" si="45"/>
        <v>0</v>
      </c>
      <c r="DV58" s="44">
        <f t="shared" si="46"/>
        <v>0</v>
      </c>
      <c r="DW58" s="44">
        <f t="shared" si="46"/>
        <v>4948</v>
      </c>
      <c r="DX58" s="44">
        <f t="shared" si="46"/>
        <v>0</v>
      </c>
      <c r="DY58" s="44">
        <f t="shared" si="46"/>
        <v>0</v>
      </c>
      <c r="DZ58" s="44">
        <f t="shared" si="46"/>
        <v>0</v>
      </c>
      <c r="EA58" s="44">
        <f t="shared" si="46"/>
        <v>0</v>
      </c>
      <c r="EB58" s="44">
        <f t="shared" si="46"/>
        <v>0</v>
      </c>
    </row>
    <row r="59" spans="1:132" ht="59.25" customHeight="1" x14ac:dyDescent="0.25">
      <c r="A59" s="97"/>
      <c r="B59" s="84"/>
      <c r="C59" s="59" t="s">
        <v>191</v>
      </c>
      <c r="D59" s="41" t="s">
        <v>192</v>
      </c>
      <c r="E59" s="42">
        <v>520</v>
      </c>
      <c r="F59" s="43" t="s">
        <v>102</v>
      </c>
      <c r="G59" s="44">
        <f t="shared" si="37"/>
        <v>14041500</v>
      </c>
      <c r="H59" s="45">
        <v>108432000</v>
      </c>
      <c r="I59" s="45">
        <f t="shared" si="47"/>
        <v>94390500</v>
      </c>
      <c r="J59" s="44"/>
      <c r="K59" s="44">
        <f>20000000-5958500</f>
        <v>14041500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6">
        <f t="shared" si="1"/>
        <v>1</v>
      </c>
      <c r="AH59" s="44">
        <f t="shared" si="38"/>
        <v>14041500</v>
      </c>
      <c r="AI59" s="44"/>
      <c r="AJ59" s="44">
        <f>+'[10]Acuerdo PLAN INVERSIÓN 2021'!$J$547</f>
        <v>14041500</v>
      </c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6">
        <f t="shared" si="12"/>
        <v>0</v>
      </c>
      <c r="BG59" s="44">
        <f t="shared" si="39"/>
        <v>0</v>
      </c>
      <c r="BH59" s="44">
        <f t="shared" si="40"/>
        <v>0</v>
      </c>
      <c r="BI59" s="44">
        <f t="shared" si="40"/>
        <v>0</v>
      </c>
      <c r="BJ59" s="44">
        <f t="shared" si="40"/>
        <v>0</v>
      </c>
      <c r="BK59" s="44">
        <f t="shared" si="40"/>
        <v>0</v>
      </c>
      <c r="BL59" s="44">
        <f t="shared" si="40"/>
        <v>0</v>
      </c>
      <c r="BM59" s="44">
        <f t="shared" si="40"/>
        <v>0</v>
      </c>
      <c r="BN59" s="44">
        <f t="shared" si="40"/>
        <v>0</v>
      </c>
      <c r="BO59" s="44">
        <f t="shared" si="40"/>
        <v>0</v>
      </c>
      <c r="BP59" s="44">
        <f t="shared" si="40"/>
        <v>0</v>
      </c>
      <c r="BQ59" s="44">
        <f t="shared" si="40"/>
        <v>0</v>
      </c>
      <c r="BR59" s="44">
        <f t="shared" si="40"/>
        <v>0</v>
      </c>
      <c r="BS59" s="44">
        <f t="shared" si="40"/>
        <v>0</v>
      </c>
      <c r="BT59" s="44">
        <f t="shared" si="40"/>
        <v>0</v>
      </c>
      <c r="BU59" s="44">
        <f t="shared" si="40"/>
        <v>0</v>
      </c>
      <c r="BV59" s="44">
        <f t="shared" si="40"/>
        <v>0</v>
      </c>
      <c r="BW59" s="44">
        <f t="shared" si="40"/>
        <v>0</v>
      </c>
      <c r="BX59" s="44">
        <f t="shared" si="41"/>
        <v>0</v>
      </c>
      <c r="BY59" s="44">
        <f t="shared" si="41"/>
        <v>0</v>
      </c>
      <c r="BZ59" s="44">
        <f t="shared" si="41"/>
        <v>0</v>
      </c>
      <c r="CA59" s="44">
        <f t="shared" si="41"/>
        <v>0</v>
      </c>
      <c r="CB59" s="44">
        <f t="shared" si="41"/>
        <v>0</v>
      </c>
      <c r="CC59" s="44">
        <f t="shared" si="41"/>
        <v>0</v>
      </c>
      <c r="CD59" s="44">
        <f t="shared" si="41"/>
        <v>0</v>
      </c>
      <c r="CE59" s="46">
        <f t="shared" si="42"/>
        <v>0.99999992878253752</v>
      </c>
      <c r="CF59" s="44">
        <f t="shared" si="43"/>
        <v>14041499</v>
      </c>
      <c r="CG59" s="44"/>
      <c r="CH59" s="44">
        <f>+'[10]Acuerdo PLAN INVERSIÓN 2021'!$H$545</f>
        <v>14041499</v>
      </c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6">
        <f t="shared" si="8"/>
        <v>7.1217462482842109E-8</v>
      </c>
      <c r="DE59" s="44">
        <f t="shared" si="44"/>
        <v>1</v>
      </c>
      <c r="DF59" s="44">
        <f t="shared" si="45"/>
        <v>0</v>
      </c>
      <c r="DG59" s="44">
        <f t="shared" si="45"/>
        <v>1</v>
      </c>
      <c r="DH59" s="44">
        <f t="shared" si="45"/>
        <v>0</v>
      </c>
      <c r="DI59" s="44">
        <f t="shared" si="45"/>
        <v>0</v>
      </c>
      <c r="DJ59" s="44">
        <f t="shared" si="45"/>
        <v>0</v>
      </c>
      <c r="DK59" s="44">
        <f t="shared" si="45"/>
        <v>0</v>
      </c>
      <c r="DL59" s="44">
        <f t="shared" si="45"/>
        <v>0</v>
      </c>
      <c r="DM59" s="44">
        <f t="shared" si="45"/>
        <v>0</v>
      </c>
      <c r="DN59" s="44">
        <f t="shared" si="45"/>
        <v>0</v>
      </c>
      <c r="DO59" s="44">
        <f t="shared" si="45"/>
        <v>0</v>
      </c>
      <c r="DP59" s="44">
        <f t="shared" si="45"/>
        <v>0</v>
      </c>
      <c r="DQ59" s="44">
        <f t="shared" si="45"/>
        <v>0</v>
      </c>
      <c r="DR59" s="44">
        <f t="shared" si="45"/>
        <v>0</v>
      </c>
      <c r="DS59" s="44">
        <f t="shared" si="45"/>
        <v>0</v>
      </c>
      <c r="DT59" s="44">
        <f t="shared" si="45"/>
        <v>0</v>
      </c>
      <c r="DU59" s="44">
        <f t="shared" si="45"/>
        <v>0</v>
      </c>
      <c r="DV59" s="44">
        <f t="shared" si="46"/>
        <v>0</v>
      </c>
      <c r="DW59" s="44">
        <f t="shared" si="46"/>
        <v>0</v>
      </c>
      <c r="DX59" s="44">
        <f t="shared" si="46"/>
        <v>0</v>
      </c>
      <c r="DY59" s="44">
        <f t="shared" si="46"/>
        <v>0</v>
      </c>
      <c r="DZ59" s="44">
        <f t="shared" si="46"/>
        <v>0</v>
      </c>
      <c r="EA59" s="44">
        <f t="shared" si="46"/>
        <v>0</v>
      </c>
      <c r="EB59" s="44">
        <f t="shared" si="46"/>
        <v>0</v>
      </c>
    </row>
    <row r="60" spans="1:132" ht="23.25" customHeight="1" x14ac:dyDescent="0.25">
      <c r="A60" s="97"/>
      <c r="B60" s="84"/>
      <c r="C60" s="59" t="s">
        <v>193</v>
      </c>
      <c r="D60" s="41" t="s">
        <v>194</v>
      </c>
      <c r="E60" s="42">
        <v>520</v>
      </c>
      <c r="F60" s="43" t="s">
        <v>102</v>
      </c>
      <c r="G60" s="44">
        <f t="shared" si="37"/>
        <v>70000000</v>
      </c>
      <c r="H60" s="45">
        <v>85000000</v>
      </c>
      <c r="I60" s="45">
        <f t="shared" si="47"/>
        <v>15000000</v>
      </c>
      <c r="J60" s="44"/>
      <c r="K60" s="44">
        <f>30000000+10000000</f>
        <v>40000000</v>
      </c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>
        <f>10000000</f>
        <v>10000000</v>
      </c>
      <c r="AB60" s="44">
        <f>20000000</f>
        <v>20000000</v>
      </c>
      <c r="AC60" s="44"/>
      <c r="AD60" s="44"/>
      <c r="AE60" s="44"/>
      <c r="AF60" s="44"/>
      <c r="AG60" s="46">
        <f t="shared" si="1"/>
        <v>1</v>
      </c>
      <c r="AH60" s="44">
        <f t="shared" si="38"/>
        <v>70000000</v>
      </c>
      <c r="AI60" s="44"/>
      <c r="AJ60" s="44">
        <f>+'[7]Acuerdo PLAN INVERSIÓN 2021'!$J$1525</f>
        <v>40000000</v>
      </c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>
        <f>+'[1]Acuerdo PLAN INVERSIÓN 2021'!$X$2985</f>
        <v>10000000</v>
      </c>
      <c r="BA60" s="44">
        <f>+'[1]Acuerdo PLAN INVERSIÓN 2021'!$Y$2985</f>
        <v>20000000</v>
      </c>
      <c r="BB60" s="44"/>
      <c r="BC60" s="44"/>
      <c r="BD60" s="44"/>
      <c r="BE60" s="44"/>
      <c r="BF60" s="46">
        <f t="shared" si="12"/>
        <v>0</v>
      </c>
      <c r="BG60" s="44">
        <f t="shared" si="39"/>
        <v>0</v>
      </c>
      <c r="BH60" s="44">
        <f t="shared" si="40"/>
        <v>0</v>
      </c>
      <c r="BI60" s="44">
        <f t="shared" si="40"/>
        <v>0</v>
      </c>
      <c r="BJ60" s="44">
        <f t="shared" si="40"/>
        <v>0</v>
      </c>
      <c r="BK60" s="44">
        <f t="shared" si="40"/>
        <v>0</v>
      </c>
      <c r="BL60" s="44">
        <f t="shared" si="40"/>
        <v>0</v>
      </c>
      <c r="BM60" s="44">
        <f t="shared" si="40"/>
        <v>0</v>
      </c>
      <c r="BN60" s="44">
        <f t="shared" si="40"/>
        <v>0</v>
      </c>
      <c r="BO60" s="44">
        <f t="shared" si="40"/>
        <v>0</v>
      </c>
      <c r="BP60" s="44">
        <f t="shared" si="40"/>
        <v>0</v>
      </c>
      <c r="BQ60" s="44">
        <f t="shared" si="40"/>
        <v>0</v>
      </c>
      <c r="BR60" s="44">
        <f t="shared" si="40"/>
        <v>0</v>
      </c>
      <c r="BS60" s="44">
        <f t="shared" si="40"/>
        <v>0</v>
      </c>
      <c r="BT60" s="44">
        <f t="shared" si="40"/>
        <v>0</v>
      </c>
      <c r="BU60" s="44">
        <f t="shared" si="40"/>
        <v>0</v>
      </c>
      <c r="BV60" s="44">
        <f t="shared" si="40"/>
        <v>0</v>
      </c>
      <c r="BW60" s="44">
        <f t="shared" si="40"/>
        <v>0</v>
      </c>
      <c r="BX60" s="44">
        <f t="shared" si="41"/>
        <v>0</v>
      </c>
      <c r="BY60" s="44">
        <f t="shared" si="41"/>
        <v>0</v>
      </c>
      <c r="BZ60" s="44">
        <f t="shared" si="41"/>
        <v>0</v>
      </c>
      <c r="CA60" s="44">
        <f t="shared" si="41"/>
        <v>0</v>
      </c>
      <c r="CB60" s="44">
        <f t="shared" si="41"/>
        <v>0</v>
      </c>
      <c r="CC60" s="44">
        <f t="shared" si="41"/>
        <v>0</v>
      </c>
      <c r="CD60" s="44">
        <f t="shared" si="41"/>
        <v>0</v>
      </c>
      <c r="CE60" s="46">
        <f t="shared" si="42"/>
        <v>0.8660249571428571</v>
      </c>
      <c r="CF60" s="44">
        <f t="shared" si="43"/>
        <v>60621747</v>
      </c>
      <c r="CG60" s="44"/>
      <c r="CH60" s="44">
        <f>+'[5]Acuerdo PLAN INVERSIÓN 2021'!$H$4286+'[5]Acuerdo PLAN INVERSIÓN 2021'!$H$4290+'[5]Acuerdo PLAN INVERSIÓN 2021'!$H$4293+'[5]Acuerdo PLAN INVERSIÓN 2021'!$H$4298</f>
        <v>39875662</v>
      </c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>
        <f>+'[5]Acuerdo PLAN INVERSIÓN 2021'!$H$4301</f>
        <v>5000000</v>
      </c>
      <c r="CY60" s="44">
        <f>+'[5]Acuerdo PLAN INVERSIÓN 2021'!$H$4305</f>
        <v>15746085</v>
      </c>
      <c r="CZ60" s="44"/>
      <c r="DA60" s="44"/>
      <c r="DB60" s="44"/>
      <c r="DC60" s="44"/>
      <c r="DD60" s="46">
        <f t="shared" si="8"/>
        <v>0.1339750428571429</v>
      </c>
      <c r="DE60" s="44">
        <f t="shared" si="44"/>
        <v>9378253</v>
      </c>
      <c r="DF60" s="44">
        <f t="shared" si="45"/>
        <v>0</v>
      </c>
      <c r="DG60" s="44">
        <f t="shared" si="45"/>
        <v>124338</v>
      </c>
      <c r="DH60" s="44">
        <f t="shared" si="45"/>
        <v>0</v>
      </c>
      <c r="DI60" s="44">
        <f t="shared" si="45"/>
        <v>0</v>
      </c>
      <c r="DJ60" s="44">
        <f t="shared" si="45"/>
        <v>0</v>
      </c>
      <c r="DK60" s="44">
        <f t="shared" si="45"/>
        <v>0</v>
      </c>
      <c r="DL60" s="44">
        <f t="shared" si="45"/>
        <v>0</v>
      </c>
      <c r="DM60" s="44">
        <f t="shared" si="45"/>
        <v>0</v>
      </c>
      <c r="DN60" s="44">
        <f t="shared" si="45"/>
        <v>0</v>
      </c>
      <c r="DO60" s="44">
        <f t="shared" si="45"/>
        <v>0</v>
      </c>
      <c r="DP60" s="44">
        <f t="shared" si="45"/>
        <v>0</v>
      </c>
      <c r="DQ60" s="44">
        <f t="shared" si="45"/>
        <v>0</v>
      </c>
      <c r="DR60" s="44">
        <f t="shared" si="45"/>
        <v>0</v>
      </c>
      <c r="DS60" s="44">
        <f t="shared" si="45"/>
        <v>0</v>
      </c>
      <c r="DT60" s="44">
        <f t="shared" si="45"/>
        <v>0</v>
      </c>
      <c r="DU60" s="44">
        <f t="shared" si="45"/>
        <v>0</v>
      </c>
      <c r="DV60" s="44">
        <f t="shared" si="46"/>
        <v>0</v>
      </c>
      <c r="DW60" s="44">
        <f t="shared" si="46"/>
        <v>5000000</v>
      </c>
      <c r="DX60" s="44">
        <f t="shared" si="46"/>
        <v>4253915</v>
      </c>
      <c r="DY60" s="44">
        <f t="shared" si="46"/>
        <v>0</v>
      </c>
      <c r="DZ60" s="44">
        <f t="shared" si="46"/>
        <v>0</v>
      </c>
      <c r="EA60" s="44">
        <f t="shared" si="46"/>
        <v>0</v>
      </c>
      <c r="EB60" s="44">
        <f t="shared" si="46"/>
        <v>0</v>
      </c>
    </row>
    <row r="61" spans="1:132" ht="20.25" customHeight="1" x14ac:dyDescent="0.25">
      <c r="A61" s="97"/>
      <c r="B61" s="84"/>
      <c r="C61" s="59" t="s">
        <v>195</v>
      </c>
      <c r="D61" s="41" t="s">
        <v>196</v>
      </c>
      <c r="E61" s="42">
        <v>520</v>
      </c>
      <c r="F61" s="43" t="s">
        <v>102</v>
      </c>
      <c r="G61" s="44">
        <f t="shared" si="37"/>
        <v>50000000</v>
      </c>
      <c r="H61" s="45">
        <v>158000000</v>
      </c>
      <c r="I61" s="45">
        <f t="shared" si="47"/>
        <v>108000000</v>
      </c>
      <c r="J61" s="44"/>
      <c r="K61" s="44">
        <f>30000000+10000000</f>
        <v>40000000</v>
      </c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>
        <f>10000000</f>
        <v>10000000</v>
      </c>
      <c r="AB61" s="44"/>
      <c r="AC61" s="44"/>
      <c r="AD61" s="44"/>
      <c r="AE61" s="44"/>
      <c r="AF61" s="44"/>
      <c r="AG61" s="46">
        <f t="shared" si="1"/>
        <v>0.99268873999999996</v>
      </c>
      <c r="AH61" s="44">
        <f t="shared" si="38"/>
        <v>49634437</v>
      </c>
      <c r="AI61" s="44"/>
      <c r="AJ61" s="44">
        <f>+'[3]Acuerdo PLAN INVERSIÓN 2021'!$J$2184</f>
        <v>39634437</v>
      </c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>
        <f>+'[3]Acuerdo PLAN INVERSIÓN 2021'!$X$2184</f>
        <v>10000000</v>
      </c>
      <c r="BA61" s="44"/>
      <c r="BB61" s="44"/>
      <c r="BC61" s="44"/>
      <c r="BD61" s="44"/>
      <c r="BE61" s="44"/>
      <c r="BF61" s="46">
        <f t="shared" si="12"/>
        <v>7.3112600000000416E-3</v>
      </c>
      <c r="BG61" s="44">
        <f t="shared" si="39"/>
        <v>365563</v>
      </c>
      <c r="BH61" s="44">
        <f t="shared" si="40"/>
        <v>0</v>
      </c>
      <c r="BI61" s="44">
        <f t="shared" si="40"/>
        <v>365563</v>
      </c>
      <c r="BJ61" s="44">
        <f t="shared" si="40"/>
        <v>0</v>
      </c>
      <c r="BK61" s="44">
        <f t="shared" si="40"/>
        <v>0</v>
      </c>
      <c r="BL61" s="44">
        <f t="shared" si="40"/>
        <v>0</v>
      </c>
      <c r="BM61" s="44">
        <f t="shared" si="40"/>
        <v>0</v>
      </c>
      <c r="BN61" s="44">
        <f t="shared" si="40"/>
        <v>0</v>
      </c>
      <c r="BO61" s="44">
        <f t="shared" si="40"/>
        <v>0</v>
      </c>
      <c r="BP61" s="44">
        <f t="shared" si="40"/>
        <v>0</v>
      </c>
      <c r="BQ61" s="44">
        <f t="shared" si="40"/>
        <v>0</v>
      </c>
      <c r="BR61" s="44">
        <f t="shared" si="40"/>
        <v>0</v>
      </c>
      <c r="BS61" s="44">
        <f t="shared" si="40"/>
        <v>0</v>
      </c>
      <c r="BT61" s="44">
        <f t="shared" si="40"/>
        <v>0</v>
      </c>
      <c r="BU61" s="44">
        <f t="shared" si="40"/>
        <v>0</v>
      </c>
      <c r="BV61" s="44">
        <f t="shared" si="40"/>
        <v>0</v>
      </c>
      <c r="BW61" s="44">
        <f t="shared" si="40"/>
        <v>0</v>
      </c>
      <c r="BX61" s="44">
        <f t="shared" si="41"/>
        <v>0</v>
      </c>
      <c r="BY61" s="44">
        <f t="shared" si="41"/>
        <v>0</v>
      </c>
      <c r="BZ61" s="44">
        <f t="shared" si="41"/>
        <v>0</v>
      </c>
      <c r="CA61" s="44">
        <f t="shared" si="41"/>
        <v>0</v>
      </c>
      <c r="CB61" s="44">
        <f t="shared" si="41"/>
        <v>0</v>
      </c>
      <c r="CC61" s="44">
        <f t="shared" si="41"/>
        <v>0</v>
      </c>
      <c r="CD61" s="44">
        <f t="shared" si="41"/>
        <v>0</v>
      </c>
      <c r="CE61" s="46">
        <f t="shared" si="42"/>
        <v>0.99113512000000004</v>
      </c>
      <c r="CF61" s="44">
        <f>SUM(CG61:DC61)</f>
        <v>49556756</v>
      </c>
      <c r="CG61" s="44"/>
      <c r="CH61" s="4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>
        <f>+'[2]Acuerdo PLAN INVERSIÓN 2021'!$H$2575</f>
        <v>10000000</v>
      </c>
      <c r="CY61" s="44"/>
      <c r="CZ61" s="44"/>
      <c r="DA61" s="44"/>
      <c r="DB61" s="44"/>
      <c r="DC61" s="44"/>
      <c r="DD61" s="46">
        <f t="shared" si="8"/>
        <v>8.8648799999999639E-3</v>
      </c>
      <c r="DE61" s="44">
        <f t="shared" si="44"/>
        <v>443244</v>
      </c>
      <c r="DF61" s="44">
        <f t="shared" si="45"/>
        <v>0</v>
      </c>
      <c r="DG61" s="44">
        <f t="shared" si="45"/>
        <v>443244</v>
      </c>
      <c r="DH61" s="44">
        <f t="shared" si="45"/>
        <v>0</v>
      </c>
      <c r="DI61" s="44">
        <f t="shared" si="45"/>
        <v>0</v>
      </c>
      <c r="DJ61" s="44">
        <f t="shared" si="45"/>
        <v>0</v>
      </c>
      <c r="DK61" s="44">
        <f t="shared" si="45"/>
        <v>0</v>
      </c>
      <c r="DL61" s="44">
        <f t="shared" si="45"/>
        <v>0</v>
      </c>
      <c r="DM61" s="44">
        <f t="shared" si="45"/>
        <v>0</v>
      </c>
      <c r="DN61" s="44">
        <f t="shared" si="45"/>
        <v>0</v>
      </c>
      <c r="DO61" s="44">
        <f t="shared" si="45"/>
        <v>0</v>
      </c>
      <c r="DP61" s="44">
        <f t="shared" si="45"/>
        <v>0</v>
      </c>
      <c r="DQ61" s="44">
        <f t="shared" si="45"/>
        <v>0</v>
      </c>
      <c r="DR61" s="44">
        <f t="shared" si="45"/>
        <v>0</v>
      </c>
      <c r="DS61" s="44">
        <f t="shared" si="45"/>
        <v>0</v>
      </c>
      <c r="DT61" s="44">
        <f t="shared" si="45"/>
        <v>0</v>
      </c>
      <c r="DU61" s="44">
        <f t="shared" si="45"/>
        <v>0</v>
      </c>
      <c r="DV61" s="44">
        <f t="shared" si="46"/>
        <v>0</v>
      </c>
      <c r="DW61" s="44">
        <f t="shared" si="46"/>
        <v>0</v>
      </c>
      <c r="DX61" s="44">
        <f t="shared" si="46"/>
        <v>0</v>
      </c>
      <c r="DY61" s="44">
        <f t="shared" si="46"/>
        <v>0</v>
      </c>
      <c r="DZ61" s="44">
        <f t="shared" si="46"/>
        <v>0</v>
      </c>
      <c r="EA61" s="44">
        <f t="shared" si="46"/>
        <v>0</v>
      </c>
      <c r="EB61" s="44">
        <f t="shared" si="46"/>
        <v>0</v>
      </c>
    </row>
    <row r="62" spans="1:132" ht="24" customHeight="1" x14ac:dyDescent="0.25">
      <c r="A62" s="97"/>
      <c r="B62" s="81"/>
      <c r="C62" s="59" t="s">
        <v>197</v>
      </c>
      <c r="D62" s="41" t="s">
        <v>198</v>
      </c>
      <c r="E62" s="42">
        <v>520</v>
      </c>
      <c r="F62" s="43" t="s">
        <v>102</v>
      </c>
      <c r="G62" s="44">
        <f t="shared" si="37"/>
        <v>52834000</v>
      </c>
      <c r="H62" s="45">
        <v>0</v>
      </c>
      <c r="I62" s="45">
        <f t="shared" si="47"/>
        <v>-52834000</v>
      </c>
      <c r="J62" s="44"/>
      <c r="K62" s="44">
        <f>10000000</f>
        <v>10000000</v>
      </c>
      <c r="L62" s="44"/>
      <c r="M62" s="44"/>
      <c r="N62" s="44"/>
      <c r="O62" s="44">
        <v>20000000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>
        <f>10000000</f>
        <v>10000000</v>
      </c>
      <c r="AB62" s="44">
        <f>12834000</f>
        <v>12834000</v>
      </c>
      <c r="AC62" s="44"/>
      <c r="AD62" s="44"/>
      <c r="AE62" s="44"/>
      <c r="AF62" s="44"/>
      <c r="AG62" s="46">
        <f t="shared" si="1"/>
        <v>1</v>
      </c>
      <c r="AH62" s="44">
        <f t="shared" si="38"/>
        <v>52834000</v>
      </c>
      <c r="AI62" s="44"/>
      <c r="AJ62" s="44">
        <f>+'[2]Acuerdo PLAN INVERSIÓN 2021'!$J$2579</f>
        <v>10000000</v>
      </c>
      <c r="AK62" s="44"/>
      <c r="AL62" s="44"/>
      <c r="AM62" s="44"/>
      <c r="AN62" s="44">
        <f>+'[10]Acuerdo PLAN INVERSIÓN 2021'!$AC$569</f>
        <v>20000000</v>
      </c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>
        <f>+'[4]Acuerdo PLAN INVERSIÓN 2021'!$X$1811</f>
        <v>10000000</v>
      </c>
      <c r="BA62" s="44">
        <f>+'[1]Acuerdo PLAN INVERSIÓN 2021'!$Y$3036</f>
        <v>12834000</v>
      </c>
      <c r="BB62" s="44"/>
      <c r="BC62" s="44"/>
      <c r="BD62" s="44"/>
      <c r="BE62" s="44"/>
      <c r="BF62" s="46">
        <f t="shared" si="12"/>
        <v>0</v>
      </c>
      <c r="BG62" s="44">
        <f t="shared" si="39"/>
        <v>0</v>
      </c>
      <c r="BH62" s="44">
        <f t="shared" si="40"/>
        <v>0</v>
      </c>
      <c r="BI62" s="44">
        <f t="shared" si="40"/>
        <v>0</v>
      </c>
      <c r="BJ62" s="44">
        <f t="shared" si="40"/>
        <v>0</v>
      </c>
      <c r="BK62" s="44">
        <f t="shared" si="40"/>
        <v>0</v>
      </c>
      <c r="BL62" s="44">
        <f t="shared" si="40"/>
        <v>0</v>
      </c>
      <c r="BM62" s="44">
        <f t="shared" si="40"/>
        <v>0</v>
      </c>
      <c r="BN62" s="44">
        <f t="shared" si="40"/>
        <v>0</v>
      </c>
      <c r="BO62" s="44">
        <f t="shared" si="40"/>
        <v>0</v>
      </c>
      <c r="BP62" s="44">
        <f t="shared" si="40"/>
        <v>0</v>
      </c>
      <c r="BQ62" s="44">
        <f t="shared" si="40"/>
        <v>0</v>
      </c>
      <c r="BR62" s="44">
        <f t="shared" si="40"/>
        <v>0</v>
      </c>
      <c r="BS62" s="44">
        <f t="shared" si="40"/>
        <v>0</v>
      </c>
      <c r="BT62" s="44">
        <f t="shared" si="40"/>
        <v>0</v>
      </c>
      <c r="BU62" s="44">
        <f t="shared" si="40"/>
        <v>0</v>
      </c>
      <c r="BV62" s="44">
        <f t="shared" si="40"/>
        <v>0</v>
      </c>
      <c r="BW62" s="44">
        <f t="shared" si="40"/>
        <v>0</v>
      </c>
      <c r="BX62" s="44">
        <f t="shared" si="41"/>
        <v>0</v>
      </c>
      <c r="BY62" s="44">
        <f t="shared" si="41"/>
        <v>0</v>
      </c>
      <c r="BZ62" s="44">
        <f t="shared" si="41"/>
        <v>0</v>
      </c>
      <c r="CA62" s="44">
        <f t="shared" si="41"/>
        <v>0</v>
      </c>
      <c r="CB62" s="44">
        <f t="shared" si="41"/>
        <v>0</v>
      </c>
      <c r="CC62" s="44">
        <f t="shared" si="41"/>
        <v>0</v>
      </c>
      <c r="CD62" s="44">
        <f t="shared" si="41"/>
        <v>0</v>
      </c>
      <c r="CE62" s="46">
        <f t="shared" si="42"/>
        <v>0.92742298519892497</v>
      </c>
      <c r="CF62" s="44">
        <f t="shared" si="43"/>
        <v>48999466</v>
      </c>
      <c r="CG62" s="44"/>
      <c r="CH62" s="44">
        <f>+'[6]Acuerdo PLAN INVERSIÓN 2021'!$H$3677</f>
        <v>10000000</v>
      </c>
      <c r="CI62" s="44"/>
      <c r="CJ62" s="44"/>
      <c r="CK62" s="44"/>
      <c r="CL62" s="44">
        <f>+'[10]Acuerdo PLAN INVERSIÓN 2021'!$H$567</f>
        <v>20000000</v>
      </c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>
        <f>+'[6]Acuerdo PLAN INVERSIÓN 2021'!$H$3674</f>
        <v>10000000</v>
      </c>
      <c r="CY62" s="44">
        <f>+'[6]Acuerdo PLAN INVERSIÓN 2021'!$H$3680</f>
        <v>8999466</v>
      </c>
      <c r="CZ62" s="44"/>
      <c r="DA62" s="44"/>
      <c r="DB62" s="44"/>
      <c r="DC62" s="44"/>
      <c r="DD62" s="46">
        <f t="shared" si="8"/>
        <v>7.2577014801075035E-2</v>
      </c>
      <c r="DE62" s="44">
        <f t="shared" si="44"/>
        <v>3834534</v>
      </c>
      <c r="DF62" s="44">
        <f t="shared" si="45"/>
        <v>0</v>
      </c>
      <c r="DG62" s="44">
        <f t="shared" si="45"/>
        <v>0</v>
      </c>
      <c r="DH62" s="44">
        <f t="shared" si="45"/>
        <v>0</v>
      </c>
      <c r="DI62" s="44">
        <f t="shared" si="45"/>
        <v>0</v>
      </c>
      <c r="DJ62" s="44">
        <f t="shared" si="45"/>
        <v>0</v>
      </c>
      <c r="DK62" s="44">
        <f t="shared" si="45"/>
        <v>0</v>
      </c>
      <c r="DL62" s="44">
        <f t="shared" si="45"/>
        <v>0</v>
      </c>
      <c r="DM62" s="44">
        <f t="shared" si="45"/>
        <v>0</v>
      </c>
      <c r="DN62" s="44">
        <f t="shared" si="45"/>
        <v>0</v>
      </c>
      <c r="DO62" s="44">
        <f t="shared" si="45"/>
        <v>0</v>
      </c>
      <c r="DP62" s="44">
        <f t="shared" si="45"/>
        <v>0</v>
      </c>
      <c r="DQ62" s="44">
        <f t="shared" si="45"/>
        <v>0</v>
      </c>
      <c r="DR62" s="44">
        <f t="shared" si="45"/>
        <v>0</v>
      </c>
      <c r="DS62" s="44">
        <f t="shared" si="45"/>
        <v>0</v>
      </c>
      <c r="DT62" s="44">
        <f t="shared" si="45"/>
        <v>0</v>
      </c>
      <c r="DU62" s="44">
        <f t="shared" si="45"/>
        <v>0</v>
      </c>
      <c r="DV62" s="44">
        <f t="shared" si="46"/>
        <v>0</v>
      </c>
      <c r="DW62" s="44">
        <f t="shared" si="46"/>
        <v>0</v>
      </c>
      <c r="DX62" s="44">
        <f t="shared" si="46"/>
        <v>3834534</v>
      </c>
      <c r="DY62" s="44">
        <f t="shared" si="46"/>
        <v>0</v>
      </c>
      <c r="DZ62" s="44">
        <f t="shared" si="46"/>
        <v>0</v>
      </c>
      <c r="EA62" s="44">
        <f t="shared" si="46"/>
        <v>0</v>
      </c>
      <c r="EB62" s="44">
        <f t="shared" si="46"/>
        <v>0</v>
      </c>
    </row>
    <row r="63" spans="1:132" ht="55.5" customHeight="1" x14ac:dyDescent="0.25">
      <c r="A63" s="97"/>
      <c r="B63" s="77" t="s">
        <v>199</v>
      </c>
      <c r="C63" s="62" t="s">
        <v>200</v>
      </c>
      <c r="D63" s="54" t="s">
        <v>201</v>
      </c>
      <c r="E63" s="42">
        <v>520</v>
      </c>
      <c r="F63" s="43" t="s">
        <v>202</v>
      </c>
      <c r="G63" s="44">
        <f t="shared" si="37"/>
        <v>1254721927</v>
      </c>
      <c r="H63" s="45">
        <v>800000000</v>
      </c>
      <c r="I63" s="45">
        <f t="shared" si="47"/>
        <v>-454721927</v>
      </c>
      <c r="J63" s="78"/>
      <c r="K63" s="44">
        <f>95000000+80000000+37736445</f>
        <v>212736445</v>
      </c>
      <c r="L63" s="44"/>
      <c r="M63" s="44"/>
      <c r="N63" s="78"/>
      <c r="O63" s="44">
        <v>147645552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>
        <f>80000000+27766866</f>
        <v>107766866</v>
      </c>
      <c r="AB63" s="44">
        <v>19896688</v>
      </c>
      <c r="AC63" s="44"/>
      <c r="AD63" s="44"/>
      <c r="AE63" s="44"/>
      <c r="AF63" s="44">
        <f>349469459+27565544+40000000+15000000+15000000+143204446+8836832+49165018+11000000+4714000+5000000+78468477+8000000+5000000-3747400+10000000</f>
        <v>766676376</v>
      </c>
      <c r="AG63" s="46">
        <f t="shared" si="1"/>
        <v>0.89903960449397646</v>
      </c>
      <c r="AH63" s="44">
        <f t="shared" si="38"/>
        <v>1128044705</v>
      </c>
      <c r="AI63" s="44"/>
      <c r="AJ63" s="44">
        <f>+'[1]Acuerdo PLAN INVERSIÓN 2021'!$J$3054</f>
        <v>186041805</v>
      </c>
      <c r="AK63" s="44"/>
      <c r="AL63" s="44"/>
      <c r="AM63" s="44"/>
      <c r="AN63" s="44">
        <f>+'[5]Acuerdo PLAN INVERSIÓN 2021'!$AD$4360</f>
        <v>135819660</v>
      </c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>
        <f>+'[6]Acuerdo PLAN INVERSIÓN 2021'!$X$3687</f>
        <v>103259000</v>
      </c>
      <c r="BA63" s="44">
        <f>+'[1]Acuerdo PLAN INVERSIÓN 2021'!$Y$3054</f>
        <v>19896688</v>
      </c>
      <c r="BB63" s="44"/>
      <c r="BC63" s="44"/>
      <c r="BD63" s="44"/>
      <c r="BE63" s="44">
        <f>+'[5]Acuerdo PLAN INVERSIÓN 2021'!$AF$4360</f>
        <v>683027552</v>
      </c>
      <c r="BF63" s="46">
        <f t="shared" si="12"/>
        <v>0.10096039550602354</v>
      </c>
      <c r="BG63" s="44">
        <f t="shared" si="39"/>
        <v>126677222</v>
      </c>
      <c r="BH63" s="44">
        <f t="shared" si="40"/>
        <v>0</v>
      </c>
      <c r="BI63" s="44">
        <f t="shared" si="40"/>
        <v>26694640</v>
      </c>
      <c r="BJ63" s="44">
        <f t="shared" si="40"/>
        <v>0</v>
      </c>
      <c r="BK63" s="44">
        <f t="shared" si="40"/>
        <v>0</v>
      </c>
      <c r="BL63" s="44">
        <f t="shared" si="40"/>
        <v>0</v>
      </c>
      <c r="BM63" s="44">
        <f t="shared" si="40"/>
        <v>11825892</v>
      </c>
      <c r="BN63" s="44">
        <f t="shared" si="40"/>
        <v>0</v>
      </c>
      <c r="BO63" s="44">
        <f t="shared" si="40"/>
        <v>0</v>
      </c>
      <c r="BP63" s="44">
        <f t="shared" si="40"/>
        <v>0</v>
      </c>
      <c r="BQ63" s="44">
        <f t="shared" si="40"/>
        <v>0</v>
      </c>
      <c r="BR63" s="44">
        <f t="shared" si="40"/>
        <v>0</v>
      </c>
      <c r="BS63" s="44">
        <f t="shared" si="40"/>
        <v>0</v>
      </c>
      <c r="BT63" s="44">
        <f t="shared" si="40"/>
        <v>0</v>
      </c>
      <c r="BU63" s="44">
        <f t="shared" si="40"/>
        <v>0</v>
      </c>
      <c r="BV63" s="44">
        <f t="shared" si="40"/>
        <v>0</v>
      </c>
      <c r="BW63" s="44">
        <f t="shared" si="40"/>
        <v>0</v>
      </c>
      <c r="BX63" s="44">
        <f t="shared" si="41"/>
        <v>0</v>
      </c>
      <c r="BY63" s="44">
        <f t="shared" si="41"/>
        <v>4507866</v>
      </c>
      <c r="BZ63" s="44">
        <f t="shared" si="41"/>
        <v>0</v>
      </c>
      <c r="CA63" s="44">
        <f t="shared" si="41"/>
        <v>0</v>
      </c>
      <c r="CB63" s="44">
        <f t="shared" si="41"/>
        <v>0</v>
      </c>
      <c r="CC63" s="44">
        <f t="shared" si="41"/>
        <v>0</v>
      </c>
      <c r="CD63" s="44">
        <f t="shared" si="41"/>
        <v>83648824</v>
      </c>
      <c r="CE63" s="46">
        <f t="shared" si="42"/>
        <v>0.81573947260746327</v>
      </c>
      <c r="CF63" s="44">
        <f t="shared" si="43"/>
        <v>1023526203</v>
      </c>
      <c r="CG63" s="44"/>
      <c r="CH63" s="44">
        <f>+'[5]Acuerdo PLAN INVERSIÓN 2021'!$H$4376+'[5]Acuerdo PLAN INVERSIÓN 2021'!$H$4416+'[5]Acuerdo PLAN INVERSIÓN 2021'!$H$4437+'[5]Acuerdo PLAN INVERSIÓN 2021'!$H$4440+'[5]Acuerdo PLAN INVERSIÓN 2021'!$H$4517+'[5]Acuerdo PLAN INVERSIÓN 2021'!$H$4635+'[5]Acuerdo PLAN INVERSIÓN 2021'!$H$4797</f>
        <v>181536622</v>
      </c>
      <c r="CI63" s="44"/>
      <c r="CJ63" s="44"/>
      <c r="CK63" s="44"/>
      <c r="CL63" s="44">
        <f>+'[5]Acuerdo PLAN INVERSIÓN 2021'!$H$4473+'[5]Acuerdo PLAN INVERSIÓN 2021'!$H$4476+'[5]Acuerdo PLAN INVERSIÓN 2021'!$H$4483+'[5]Acuerdo PLAN INVERSIÓN 2021'!$H$4486+'[5]Acuerdo PLAN INVERSIÓN 2021'!$H$4521+'[5]Acuerdo PLAN INVERSIÓN 2021'!$H$4525+'[5]Acuerdo PLAN INVERSIÓN 2021'!$H$4529+'[5]Acuerdo PLAN INVERSIÓN 2021'!$H$4770+'[5]Acuerdo PLAN INVERSIÓN 2021'!$H$4773+'[5]Acuerdo PLAN INVERSIÓN 2021'!$H$4778+'[5]Acuerdo PLAN INVERSIÓN 2021'!$H$4781+'[5]Acuerdo PLAN INVERSIÓN 2021'!$H$4785+'[5]Acuerdo PLAN INVERSIÓN 2021'!$H$4788+'[5]Acuerdo PLAN INVERSIÓN 2021'!$H$4850+'[5]Acuerdo PLAN INVERSIÓN 2021'!$H$4855+'[5]Acuerdo PLAN INVERSIÓN 2021'!$H$4858+'[5]Acuerdo PLAN INVERSIÓN 2021'!$H$4861+'[5]Acuerdo PLAN INVERSIÓN 2021'!$H$4864+'[5]Acuerdo PLAN INVERSIÓN 2021'!$H$4868+'[5]Acuerdo PLAN INVERSIÓN 2021'!$H$4884+'[5]Acuerdo PLAN INVERSIÓN 2021'!$H$4887+'[5]Acuerdo PLAN INVERSIÓN 2021'!$H$4892+'[5]Acuerdo PLAN INVERSIÓN 2021'!$H$4895+'[5]Acuerdo PLAN INVERSIÓN 2021'!$H$4898+'[5]Acuerdo PLAN INVERSIÓN 2021'!$H$4924+'[5]Acuerdo PLAN INVERSIÓN 2021'!$H$4928+'[5]Acuerdo PLAN INVERSIÓN 2021'!$H$4932+'[5]Acuerdo PLAN INVERSIÓN 2021'!$H$4936+35528646</f>
        <v>101783331</v>
      </c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>
        <f>+'[5]Acuerdo PLAN INVERSIÓN 2021'!$H$4580+'[5]Acuerdo PLAN INVERSIÓN 2021'!$H$4583+'[5]Acuerdo PLAN INVERSIÓN 2021'!$H$4586+'[5]Acuerdo PLAN INVERSIÓN 2021'!$H$4591+'[5]Acuerdo PLAN INVERSIÓN 2021'!$H$4596+'[5]Acuerdo PLAN INVERSIÓN 2021'!$H$4624+'[5]Acuerdo PLAN INVERSIÓN 2021'!$H$4644+'[5]Acuerdo PLAN INVERSIÓN 2021'!$H$4647+'[5]Acuerdo PLAN INVERSIÓN 2021'!$H$4688+'[5]Acuerdo PLAN INVERSIÓN 2021'!$H$4691+'[5]Acuerdo PLAN INVERSIÓN 2021'!$H$4738+'[5]Acuerdo PLAN INVERSIÓN 2021'!$H$4742+'[5]Acuerdo PLAN INVERSIÓN 2021'!$H$4764+'[5]Acuerdo PLAN INVERSIÓN 2021'!$H$4803+'[5]Acuerdo PLAN INVERSIÓN 2021'!$H$4843+'[5]Acuerdo PLAN INVERSIÓN 2021'!$H$4998</f>
        <v>69685985</v>
      </c>
      <c r="CY63" s="44">
        <f>+'[1]Acuerdo PLAN INVERSIÓN 2021'!$H$3489</f>
        <v>19896688</v>
      </c>
      <c r="CZ63" s="44"/>
      <c r="DA63" s="44"/>
      <c r="DB63" s="44"/>
      <c r="DC63" s="44">
        <f>+'[5]Acuerdo PLAN INVERSIÓN 2021'!$H$4358-CY63-CX63-CL63-CH63</f>
        <v>650623577</v>
      </c>
      <c r="DD63" s="46">
        <f t="shared" si="8"/>
        <v>0.18426052739253673</v>
      </c>
      <c r="DE63" s="44">
        <f t="shared" si="44"/>
        <v>231195724</v>
      </c>
      <c r="DF63" s="44">
        <f t="shared" si="45"/>
        <v>0</v>
      </c>
      <c r="DG63" s="44">
        <f t="shared" si="45"/>
        <v>31199823</v>
      </c>
      <c r="DH63" s="44">
        <f t="shared" si="45"/>
        <v>0</v>
      </c>
      <c r="DI63" s="44">
        <f t="shared" si="45"/>
        <v>0</v>
      </c>
      <c r="DJ63" s="44">
        <f t="shared" si="45"/>
        <v>0</v>
      </c>
      <c r="DK63" s="44">
        <f t="shared" si="45"/>
        <v>45862221</v>
      </c>
      <c r="DL63" s="44">
        <f t="shared" si="45"/>
        <v>0</v>
      </c>
      <c r="DM63" s="44">
        <f t="shared" si="45"/>
        <v>0</v>
      </c>
      <c r="DN63" s="44">
        <f t="shared" si="45"/>
        <v>0</v>
      </c>
      <c r="DO63" s="44">
        <f t="shared" si="45"/>
        <v>0</v>
      </c>
      <c r="DP63" s="44">
        <f t="shared" si="45"/>
        <v>0</v>
      </c>
      <c r="DQ63" s="44">
        <f t="shared" si="45"/>
        <v>0</v>
      </c>
      <c r="DR63" s="44">
        <f t="shared" si="45"/>
        <v>0</v>
      </c>
      <c r="DS63" s="44">
        <f t="shared" si="45"/>
        <v>0</v>
      </c>
      <c r="DT63" s="44">
        <f t="shared" si="45"/>
        <v>0</v>
      </c>
      <c r="DU63" s="44">
        <f t="shared" si="45"/>
        <v>0</v>
      </c>
      <c r="DV63" s="44">
        <f t="shared" si="46"/>
        <v>0</v>
      </c>
      <c r="DW63" s="44">
        <f t="shared" si="46"/>
        <v>38080881</v>
      </c>
      <c r="DX63" s="44">
        <f t="shared" si="46"/>
        <v>0</v>
      </c>
      <c r="DY63" s="44">
        <f t="shared" si="46"/>
        <v>0</v>
      </c>
      <c r="DZ63" s="44">
        <f t="shared" si="46"/>
        <v>0</v>
      </c>
      <c r="EA63" s="44">
        <f t="shared" si="46"/>
        <v>0</v>
      </c>
      <c r="EB63" s="44">
        <f t="shared" si="46"/>
        <v>116052799</v>
      </c>
    </row>
    <row r="64" spans="1:132" ht="21" customHeight="1" x14ac:dyDescent="0.25">
      <c r="A64" s="97"/>
      <c r="B64" s="84"/>
      <c r="C64" s="62" t="s">
        <v>203</v>
      </c>
      <c r="D64" s="54" t="s">
        <v>204</v>
      </c>
      <c r="E64" s="55">
        <v>520</v>
      </c>
      <c r="F64" s="43" t="s">
        <v>102</v>
      </c>
      <c r="G64" s="44">
        <f t="shared" si="37"/>
        <v>0</v>
      </c>
      <c r="H64" s="98">
        <f>350000000+315000000+276000000</f>
        <v>941000000</v>
      </c>
      <c r="I64" s="45">
        <f t="shared" si="47"/>
        <v>941000000</v>
      </c>
      <c r="J64" s="80"/>
      <c r="K64" s="44"/>
      <c r="L64" s="78"/>
      <c r="M64" s="78"/>
      <c r="N64" s="78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6" t="e">
        <f t="shared" si="1"/>
        <v>#DIV/0!</v>
      </c>
      <c r="AH64" s="44">
        <f t="shared" si="38"/>
        <v>0</v>
      </c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6" t="e">
        <f t="shared" si="12"/>
        <v>#DIV/0!</v>
      </c>
      <c r="BG64" s="44">
        <f t="shared" si="39"/>
        <v>0</v>
      </c>
      <c r="BH64" s="44">
        <f t="shared" si="40"/>
        <v>0</v>
      </c>
      <c r="BI64" s="44">
        <f t="shared" si="40"/>
        <v>0</v>
      </c>
      <c r="BJ64" s="44">
        <f t="shared" si="40"/>
        <v>0</v>
      </c>
      <c r="BK64" s="44">
        <f t="shared" si="40"/>
        <v>0</v>
      </c>
      <c r="BL64" s="44">
        <f t="shared" si="40"/>
        <v>0</v>
      </c>
      <c r="BM64" s="44">
        <f t="shared" si="40"/>
        <v>0</v>
      </c>
      <c r="BN64" s="44">
        <f t="shared" si="40"/>
        <v>0</v>
      </c>
      <c r="BO64" s="44">
        <f t="shared" si="40"/>
        <v>0</v>
      </c>
      <c r="BP64" s="44">
        <f t="shared" si="40"/>
        <v>0</v>
      </c>
      <c r="BQ64" s="44">
        <f t="shared" si="40"/>
        <v>0</v>
      </c>
      <c r="BR64" s="44">
        <f t="shared" si="40"/>
        <v>0</v>
      </c>
      <c r="BS64" s="44">
        <f t="shared" si="40"/>
        <v>0</v>
      </c>
      <c r="BT64" s="44">
        <f t="shared" si="40"/>
        <v>0</v>
      </c>
      <c r="BU64" s="44">
        <f t="shared" si="40"/>
        <v>0</v>
      </c>
      <c r="BV64" s="44">
        <f t="shared" si="40"/>
        <v>0</v>
      </c>
      <c r="BW64" s="44">
        <f t="shared" si="40"/>
        <v>0</v>
      </c>
      <c r="BX64" s="44">
        <f t="shared" si="41"/>
        <v>0</v>
      </c>
      <c r="BY64" s="44">
        <f t="shared" si="41"/>
        <v>0</v>
      </c>
      <c r="BZ64" s="44">
        <f t="shared" si="41"/>
        <v>0</v>
      </c>
      <c r="CA64" s="44">
        <f t="shared" si="41"/>
        <v>0</v>
      </c>
      <c r="CB64" s="44">
        <f t="shared" si="41"/>
        <v>0</v>
      </c>
      <c r="CC64" s="44">
        <f t="shared" si="41"/>
        <v>0</v>
      </c>
      <c r="CD64" s="44">
        <f t="shared" si="41"/>
        <v>0</v>
      </c>
      <c r="CE64" s="46" t="e">
        <f t="shared" si="42"/>
        <v>#DIV/0!</v>
      </c>
      <c r="CF64" s="44">
        <f t="shared" si="43"/>
        <v>0</v>
      </c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6" t="e">
        <f t="shared" si="8"/>
        <v>#DIV/0!</v>
      </c>
      <c r="DE64" s="44">
        <f t="shared" si="44"/>
        <v>0</v>
      </c>
      <c r="DF64" s="44">
        <f t="shared" si="45"/>
        <v>0</v>
      </c>
      <c r="DG64" s="44">
        <f t="shared" si="45"/>
        <v>0</v>
      </c>
      <c r="DH64" s="44">
        <f t="shared" si="45"/>
        <v>0</v>
      </c>
      <c r="DI64" s="44">
        <f t="shared" si="45"/>
        <v>0</v>
      </c>
      <c r="DJ64" s="44">
        <f t="shared" si="45"/>
        <v>0</v>
      </c>
      <c r="DK64" s="44">
        <f t="shared" si="45"/>
        <v>0</v>
      </c>
      <c r="DL64" s="44">
        <f t="shared" si="45"/>
        <v>0</v>
      </c>
      <c r="DM64" s="44">
        <f t="shared" si="45"/>
        <v>0</v>
      </c>
      <c r="DN64" s="44">
        <f t="shared" si="45"/>
        <v>0</v>
      </c>
      <c r="DO64" s="44">
        <f t="shared" si="45"/>
        <v>0</v>
      </c>
      <c r="DP64" s="44">
        <f t="shared" si="45"/>
        <v>0</v>
      </c>
      <c r="DQ64" s="44">
        <f t="shared" si="45"/>
        <v>0</v>
      </c>
      <c r="DR64" s="44">
        <f t="shared" si="45"/>
        <v>0</v>
      </c>
      <c r="DS64" s="44">
        <f t="shared" si="45"/>
        <v>0</v>
      </c>
      <c r="DT64" s="44">
        <f t="shared" si="45"/>
        <v>0</v>
      </c>
      <c r="DU64" s="44">
        <f t="shared" si="45"/>
        <v>0</v>
      </c>
      <c r="DV64" s="44">
        <f t="shared" si="46"/>
        <v>0</v>
      </c>
      <c r="DW64" s="44">
        <f t="shared" si="46"/>
        <v>0</v>
      </c>
      <c r="DX64" s="44">
        <f t="shared" si="46"/>
        <v>0</v>
      </c>
      <c r="DY64" s="44">
        <f t="shared" si="46"/>
        <v>0</v>
      </c>
      <c r="DZ64" s="44">
        <f t="shared" si="46"/>
        <v>0</v>
      </c>
      <c r="EA64" s="44">
        <f t="shared" si="46"/>
        <v>0</v>
      </c>
      <c r="EB64" s="44">
        <f t="shared" si="46"/>
        <v>0</v>
      </c>
    </row>
    <row r="65" spans="1:132" ht="45.75" customHeight="1" x14ac:dyDescent="0.25">
      <c r="A65" s="97"/>
      <c r="B65" s="84"/>
      <c r="C65" s="59" t="s">
        <v>205</v>
      </c>
      <c r="D65" s="41" t="s">
        <v>206</v>
      </c>
      <c r="E65" s="42">
        <v>520</v>
      </c>
      <c r="F65" s="65" t="s">
        <v>207</v>
      </c>
      <c r="G65" s="44">
        <f t="shared" si="37"/>
        <v>68878336</v>
      </c>
      <c r="H65" s="45">
        <v>420000000</v>
      </c>
      <c r="I65" s="45">
        <f t="shared" si="47"/>
        <v>351121664</v>
      </c>
      <c r="J65" s="78"/>
      <c r="K65" s="44"/>
      <c r="L65" s="78"/>
      <c r="M65" s="78"/>
      <c r="N65" s="78"/>
      <c r="O65" s="78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>
        <f>39332279+5000000+5000000+5000000+6546057+8000000</f>
        <v>68878336</v>
      </c>
      <c r="AG65" s="46">
        <f t="shared" si="1"/>
        <v>0.84755729290556614</v>
      </c>
      <c r="AH65" s="44">
        <f t="shared" si="38"/>
        <v>58378336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>
        <f>+'[6]Acuerdo PLAN INVERSIÓN 2021'!$AF$4366</f>
        <v>58378336</v>
      </c>
      <c r="BF65" s="46">
        <f t="shared" si="12"/>
        <v>0.15244270709443386</v>
      </c>
      <c r="BG65" s="44">
        <f t="shared" si="39"/>
        <v>10500000</v>
      </c>
      <c r="BH65" s="44">
        <f t="shared" si="40"/>
        <v>0</v>
      </c>
      <c r="BI65" s="44">
        <f t="shared" si="40"/>
        <v>0</v>
      </c>
      <c r="BJ65" s="44">
        <f t="shared" si="40"/>
        <v>0</v>
      </c>
      <c r="BK65" s="44">
        <f t="shared" si="40"/>
        <v>0</v>
      </c>
      <c r="BL65" s="44">
        <f t="shared" si="40"/>
        <v>0</v>
      </c>
      <c r="BM65" s="44">
        <f t="shared" si="40"/>
        <v>0</v>
      </c>
      <c r="BN65" s="44">
        <f t="shared" si="40"/>
        <v>0</v>
      </c>
      <c r="BO65" s="44">
        <f t="shared" si="40"/>
        <v>0</v>
      </c>
      <c r="BP65" s="44">
        <f t="shared" si="40"/>
        <v>0</v>
      </c>
      <c r="BQ65" s="44">
        <f t="shared" si="40"/>
        <v>0</v>
      </c>
      <c r="BR65" s="44">
        <f t="shared" si="40"/>
        <v>0</v>
      </c>
      <c r="BS65" s="44">
        <f t="shared" si="40"/>
        <v>0</v>
      </c>
      <c r="BT65" s="44">
        <f t="shared" si="40"/>
        <v>0</v>
      </c>
      <c r="BU65" s="44">
        <f t="shared" si="40"/>
        <v>0</v>
      </c>
      <c r="BV65" s="44">
        <f t="shared" si="40"/>
        <v>0</v>
      </c>
      <c r="BW65" s="44">
        <f t="shared" si="40"/>
        <v>0</v>
      </c>
      <c r="BX65" s="44">
        <f t="shared" si="41"/>
        <v>0</v>
      </c>
      <c r="BY65" s="44">
        <f t="shared" si="41"/>
        <v>0</v>
      </c>
      <c r="BZ65" s="44">
        <f t="shared" si="41"/>
        <v>0</v>
      </c>
      <c r="CA65" s="44">
        <f t="shared" si="41"/>
        <v>0</v>
      </c>
      <c r="CB65" s="44">
        <f t="shared" si="41"/>
        <v>0</v>
      </c>
      <c r="CC65" s="44">
        <f t="shared" si="41"/>
        <v>0</v>
      </c>
      <c r="CD65" s="44">
        <f t="shared" si="41"/>
        <v>10500000</v>
      </c>
      <c r="CE65" s="46">
        <f t="shared" si="42"/>
        <v>0.73682000680155801</v>
      </c>
      <c r="CF65" s="44">
        <f t="shared" si="43"/>
        <v>50750936</v>
      </c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>
        <f>+'[5]Acuerdo PLAN INVERSIÓN 2021'!$H$5120</f>
        <v>50750936</v>
      </c>
      <c r="DD65" s="46">
        <f t="shared" si="8"/>
        <v>0.26317999319844199</v>
      </c>
      <c r="DE65" s="44">
        <f t="shared" si="44"/>
        <v>18127400</v>
      </c>
      <c r="DF65" s="44">
        <f t="shared" si="45"/>
        <v>0</v>
      </c>
      <c r="DG65" s="44">
        <f t="shared" si="45"/>
        <v>0</v>
      </c>
      <c r="DH65" s="44">
        <f t="shared" si="45"/>
        <v>0</v>
      </c>
      <c r="DI65" s="44">
        <f t="shared" si="45"/>
        <v>0</v>
      </c>
      <c r="DJ65" s="44">
        <f t="shared" si="45"/>
        <v>0</v>
      </c>
      <c r="DK65" s="44">
        <f t="shared" si="45"/>
        <v>0</v>
      </c>
      <c r="DL65" s="44">
        <f t="shared" si="45"/>
        <v>0</v>
      </c>
      <c r="DM65" s="44">
        <f t="shared" si="45"/>
        <v>0</v>
      </c>
      <c r="DN65" s="44">
        <f t="shared" si="45"/>
        <v>0</v>
      </c>
      <c r="DO65" s="44">
        <f t="shared" si="45"/>
        <v>0</v>
      </c>
      <c r="DP65" s="44">
        <f t="shared" si="45"/>
        <v>0</v>
      </c>
      <c r="DQ65" s="44">
        <f t="shared" si="45"/>
        <v>0</v>
      </c>
      <c r="DR65" s="44">
        <f t="shared" si="45"/>
        <v>0</v>
      </c>
      <c r="DS65" s="44">
        <f t="shared" si="45"/>
        <v>0</v>
      </c>
      <c r="DT65" s="44">
        <f t="shared" si="45"/>
        <v>0</v>
      </c>
      <c r="DU65" s="44">
        <f t="shared" si="45"/>
        <v>0</v>
      </c>
      <c r="DV65" s="44">
        <f t="shared" si="46"/>
        <v>0</v>
      </c>
      <c r="DW65" s="44">
        <f t="shared" si="46"/>
        <v>0</v>
      </c>
      <c r="DX65" s="44">
        <f t="shared" si="46"/>
        <v>0</v>
      </c>
      <c r="DY65" s="44">
        <f t="shared" si="46"/>
        <v>0</v>
      </c>
      <c r="DZ65" s="44">
        <f t="shared" si="46"/>
        <v>0</v>
      </c>
      <c r="EA65" s="44">
        <f t="shared" si="46"/>
        <v>0</v>
      </c>
      <c r="EB65" s="44">
        <f t="shared" si="46"/>
        <v>18127400</v>
      </c>
    </row>
    <row r="66" spans="1:132" ht="21" customHeight="1" x14ac:dyDescent="0.25">
      <c r="A66" s="97"/>
      <c r="B66" s="84"/>
      <c r="C66" s="59" t="s">
        <v>208</v>
      </c>
      <c r="D66" s="41" t="s">
        <v>209</v>
      </c>
      <c r="E66" s="42">
        <v>520</v>
      </c>
      <c r="F66" s="43" t="s">
        <v>102</v>
      </c>
      <c r="G66" s="44">
        <f t="shared" si="37"/>
        <v>1404625000</v>
      </c>
      <c r="H66" s="45">
        <v>1530000000</v>
      </c>
      <c r="I66" s="45">
        <f t="shared" si="47"/>
        <v>125375000</v>
      </c>
      <c r="J66" s="78"/>
      <c r="K66" s="44">
        <v>30000000</v>
      </c>
      <c r="L66" s="78"/>
      <c r="M66" s="78"/>
      <c r="N66" s="78"/>
      <c r="O66" s="78"/>
      <c r="P66" s="44"/>
      <c r="Q66" s="44"/>
      <c r="R66" s="44"/>
      <c r="S66" s="44"/>
      <c r="T66" s="44"/>
      <c r="U66" s="44"/>
      <c r="V66" s="44"/>
      <c r="W66" s="44"/>
      <c r="X66" s="44"/>
      <c r="Y66" s="44">
        <f>1200000000+100000000+74625000</f>
        <v>1374625000</v>
      </c>
      <c r="Z66" s="44"/>
      <c r="AA66" s="44"/>
      <c r="AB66" s="44"/>
      <c r="AC66" s="44"/>
      <c r="AD66" s="44"/>
      <c r="AE66" s="44"/>
      <c r="AF66" s="44"/>
      <c r="AG66" s="46">
        <f t="shared" si="1"/>
        <v>0.980676698763015</v>
      </c>
      <c r="AH66" s="44">
        <f t="shared" si="38"/>
        <v>1377483008</v>
      </c>
      <c r="AI66" s="44"/>
      <c r="AJ66" s="44">
        <f>+'[9]Acuerdo PLAN INVERSIÓN 2021'!$J$1436</f>
        <v>9500000</v>
      </c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>
        <f>+'[6]Acuerdo PLAN INVERSIÓN 2021'!$W$4398</f>
        <v>1367983008</v>
      </c>
      <c r="AY66" s="44"/>
      <c r="AZ66" s="44"/>
      <c r="BA66" s="44"/>
      <c r="BB66" s="44"/>
      <c r="BC66" s="44"/>
      <c r="BD66" s="44"/>
      <c r="BE66" s="44"/>
      <c r="BF66" s="46">
        <f t="shared" si="12"/>
        <v>1.9323301236985002E-2</v>
      </c>
      <c r="BG66" s="44">
        <f t="shared" si="39"/>
        <v>27141992</v>
      </c>
      <c r="BH66" s="44">
        <f t="shared" si="40"/>
        <v>0</v>
      </c>
      <c r="BI66" s="44">
        <f t="shared" si="40"/>
        <v>20500000</v>
      </c>
      <c r="BJ66" s="44">
        <f t="shared" si="40"/>
        <v>0</v>
      </c>
      <c r="BK66" s="44">
        <f t="shared" si="40"/>
        <v>0</v>
      </c>
      <c r="BL66" s="44">
        <f t="shared" si="40"/>
        <v>0</v>
      </c>
      <c r="BM66" s="44">
        <f t="shared" si="40"/>
        <v>0</v>
      </c>
      <c r="BN66" s="44">
        <f t="shared" si="40"/>
        <v>0</v>
      </c>
      <c r="BO66" s="44">
        <f t="shared" si="40"/>
        <v>0</v>
      </c>
      <c r="BP66" s="44">
        <f t="shared" si="40"/>
        <v>0</v>
      </c>
      <c r="BQ66" s="44">
        <f t="shared" si="40"/>
        <v>0</v>
      </c>
      <c r="BR66" s="44">
        <f t="shared" si="40"/>
        <v>0</v>
      </c>
      <c r="BS66" s="44">
        <f t="shared" si="40"/>
        <v>0</v>
      </c>
      <c r="BT66" s="44">
        <f t="shared" si="40"/>
        <v>0</v>
      </c>
      <c r="BU66" s="44">
        <f t="shared" si="40"/>
        <v>0</v>
      </c>
      <c r="BV66" s="44">
        <f t="shared" si="40"/>
        <v>0</v>
      </c>
      <c r="BW66" s="44">
        <f t="shared" ref="BW66:BW76" si="48">+Y66-AX66</f>
        <v>6641992</v>
      </c>
      <c r="BX66" s="44">
        <f t="shared" si="41"/>
        <v>0</v>
      </c>
      <c r="BY66" s="44">
        <f t="shared" si="41"/>
        <v>0</v>
      </c>
      <c r="BZ66" s="44">
        <f t="shared" si="41"/>
        <v>0</v>
      </c>
      <c r="CA66" s="44">
        <f t="shared" si="41"/>
        <v>0</v>
      </c>
      <c r="CB66" s="44">
        <f t="shared" si="41"/>
        <v>0</v>
      </c>
      <c r="CC66" s="44">
        <f t="shared" si="41"/>
        <v>0</v>
      </c>
      <c r="CD66" s="44">
        <f t="shared" si="41"/>
        <v>0</v>
      </c>
      <c r="CE66" s="46">
        <f t="shared" si="42"/>
        <v>0.84203416997419245</v>
      </c>
      <c r="CF66" s="44">
        <f t="shared" si="43"/>
        <v>1182742246</v>
      </c>
      <c r="CG66" s="44"/>
      <c r="CH66" s="44">
        <f>+'[5]Acuerdo PLAN INVERSIÓN 2021'!$H$5254+'[5]Acuerdo PLAN INVERSIÓN 2021'!$H$5258</f>
        <v>7400184</v>
      </c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>
        <f>+'[5]Acuerdo PLAN INVERSIÓN 2021'!$H$5164-CH66</f>
        <v>1175342062</v>
      </c>
      <c r="CW66" s="44"/>
      <c r="CX66" s="44"/>
      <c r="CY66" s="44"/>
      <c r="CZ66" s="44"/>
      <c r="DA66" s="44"/>
      <c r="DB66" s="44"/>
      <c r="DC66" s="44"/>
      <c r="DD66" s="46">
        <f t="shared" si="8"/>
        <v>0.15796583002580755</v>
      </c>
      <c r="DE66" s="44">
        <f t="shared" si="44"/>
        <v>221882754</v>
      </c>
      <c r="DF66" s="44">
        <f t="shared" si="45"/>
        <v>0</v>
      </c>
      <c r="DG66" s="44">
        <f t="shared" si="45"/>
        <v>22599816</v>
      </c>
      <c r="DH66" s="44">
        <f t="shared" si="45"/>
        <v>0</v>
      </c>
      <c r="DI66" s="44">
        <f t="shared" si="45"/>
        <v>0</v>
      </c>
      <c r="DJ66" s="44">
        <f t="shared" si="45"/>
        <v>0</v>
      </c>
      <c r="DK66" s="44">
        <f t="shared" si="45"/>
        <v>0</v>
      </c>
      <c r="DL66" s="44">
        <f t="shared" si="45"/>
        <v>0</v>
      </c>
      <c r="DM66" s="44">
        <f t="shared" si="45"/>
        <v>0</v>
      </c>
      <c r="DN66" s="44">
        <f t="shared" si="45"/>
        <v>0</v>
      </c>
      <c r="DO66" s="44">
        <f t="shared" si="45"/>
        <v>0</v>
      </c>
      <c r="DP66" s="44">
        <f t="shared" si="45"/>
        <v>0</v>
      </c>
      <c r="DQ66" s="44">
        <f t="shared" si="45"/>
        <v>0</v>
      </c>
      <c r="DR66" s="44">
        <f t="shared" si="45"/>
        <v>0</v>
      </c>
      <c r="DS66" s="44">
        <f t="shared" si="45"/>
        <v>0</v>
      </c>
      <c r="DT66" s="44">
        <f t="shared" si="45"/>
        <v>0</v>
      </c>
      <c r="DU66" s="44">
        <f t="shared" ref="DU66:DU76" si="49">+Y66-CV66</f>
        <v>199282938</v>
      </c>
      <c r="DV66" s="44">
        <f t="shared" si="46"/>
        <v>0</v>
      </c>
      <c r="DW66" s="44">
        <f t="shared" si="46"/>
        <v>0</v>
      </c>
      <c r="DX66" s="44">
        <f t="shared" si="46"/>
        <v>0</v>
      </c>
      <c r="DY66" s="44">
        <f t="shared" si="46"/>
        <v>0</v>
      </c>
      <c r="DZ66" s="44">
        <f t="shared" si="46"/>
        <v>0</v>
      </c>
      <c r="EA66" s="44">
        <f t="shared" si="46"/>
        <v>0</v>
      </c>
      <c r="EB66" s="44">
        <f t="shared" si="46"/>
        <v>0</v>
      </c>
    </row>
    <row r="67" spans="1:132" ht="30.75" customHeight="1" x14ac:dyDescent="0.25">
      <c r="A67" s="97"/>
      <c r="B67" s="81"/>
      <c r="C67" s="59" t="s">
        <v>210</v>
      </c>
      <c r="D67" s="41" t="s">
        <v>211</v>
      </c>
      <c r="E67" s="42">
        <v>520</v>
      </c>
      <c r="F67" s="43" t="s">
        <v>212</v>
      </c>
      <c r="G67" s="44">
        <f t="shared" si="37"/>
        <v>178800000</v>
      </c>
      <c r="H67" s="45">
        <v>200000000</v>
      </c>
      <c r="I67" s="45">
        <f t="shared" si="47"/>
        <v>21200000</v>
      </c>
      <c r="J67" s="78"/>
      <c r="K67" s="44">
        <f>100000000+30000000</f>
        <v>130000000</v>
      </c>
      <c r="L67" s="44"/>
      <c r="M67" s="44"/>
      <c r="N67" s="78"/>
      <c r="O67" s="78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>
        <v>40000000</v>
      </c>
      <c r="AB67" s="44"/>
      <c r="AC67" s="44"/>
      <c r="AD67" s="44"/>
      <c r="AE67" s="44"/>
      <c r="AF67" s="44">
        <f>3000000+5800000</f>
        <v>8800000</v>
      </c>
      <c r="AG67" s="46">
        <f t="shared" si="1"/>
        <v>0.99981356823266221</v>
      </c>
      <c r="AH67" s="44">
        <f t="shared" si="38"/>
        <v>178766666</v>
      </c>
      <c r="AI67" s="44"/>
      <c r="AJ67" s="44">
        <f>+'[7]Acuerdo PLAN INVERSIÓN 2021'!$J$1876</f>
        <v>130000000</v>
      </c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>
        <f>+'[7]Acuerdo PLAN INVERSIÓN 2021'!$X$1876</f>
        <v>40000000</v>
      </c>
      <c r="BA67" s="44"/>
      <c r="BB67" s="44"/>
      <c r="BC67" s="44"/>
      <c r="BD67" s="44"/>
      <c r="BE67" s="44">
        <f>+'[2]Acuerdo PLAN INVERSIÓN 2021'!$AF$3109</f>
        <v>8766666</v>
      </c>
      <c r="BF67" s="46">
        <f t="shared" si="12"/>
        <v>1.8643176733779132E-4</v>
      </c>
      <c r="BG67" s="44">
        <f t="shared" si="39"/>
        <v>33334</v>
      </c>
      <c r="BH67" s="44">
        <f t="shared" ref="BH67:BV76" si="50">+J67-AI67</f>
        <v>0</v>
      </c>
      <c r="BI67" s="44">
        <f t="shared" si="50"/>
        <v>0</v>
      </c>
      <c r="BJ67" s="44">
        <f t="shared" si="50"/>
        <v>0</v>
      </c>
      <c r="BK67" s="44">
        <f t="shared" si="50"/>
        <v>0</v>
      </c>
      <c r="BL67" s="44">
        <f t="shared" si="50"/>
        <v>0</v>
      </c>
      <c r="BM67" s="44">
        <f t="shared" si="50"/>
        <v>0</v>
      </c>
      <c r="BN67" s="44">
        <f t="shared" si="50"/>
        <v>0</v>
      </c>
      <c r="BO67" s="44">
        <f t="shared" si="50"/>
        <v>0</v>
      </c>
      <c r="BP67" s="44">
        <f t="shared" si="50"/>
        <v>0</v>
      </c>
      <c r="BQ67" s="44">
        <f t="shared" si="50"/>
        <v>0</v>
      </c>
      <c r="BR67" s="44">
        <f t="shared" si="50"/>
        <v>0</v>
      </c>
      <c r="BS67" s="44">
        <f t="shared" si="50"/>
        <v>0</v>
      </c>
      <c r="BT67" s="44">
        <f t="shared" si="50"/>
        <v>0</v>
      </c>
      <c r="BU67" s="44">
        <f t="shared" si="50"/>
        <v>0</v>
      </c>
      <c r="BV67" s="44">
        <f t="shared" si="50"/>
        <v>0</v>
      </c>
      <c r="BW67" s="44">
        <f t="shared" si="48"/>
        <v>0</v>
      </c>
      <c r="BX67" s="44">
        <f t="shared" si="41"/>
        <v>0</v>
      </c>
      <c r="BY67" s="44">
        <f t="shared" si="41"/>
        <v>0</v>
      </c>
      <c r="BZ67" s="44">
        <f t="shared" si="41"/>
        <v>0</v>
      </c>
      <c r="CA67" s="44">
        <f t="shared" si="41"/>
        <v>0</v>
      </c>
      <c r="CB67" s="44">
        <f t="shared" si="41"/>
        <v>0</v>
      </c>
      <c r="CC67" s="44">
        <f t="shared" si="41"/>
        <v>0</v>
      </c>
      <c r="CD67" s="44">
        <f t="shared" si="41"/>
        <v>33334</v>
      </c>
      <c r="CE67" s="46">
        <f t="shared" si="42"/>
        <v>0.55330573266219241</v>
      </c>
      <c r="CF67" s="44">
        <f t="shared" si="43"/>
        <v>98931065</v>
      </c>
      <c r="CG67" s="44"/>
      <c r="CH67" s="44">
        <f>+'[5]Acuerdo PLAN INVERSIÓN 2021'!$H$5375-DC67</f>
        <v>90164399</v>
      </c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>
        <f>+'[5]Acuerdo PLAN INVERSIÓN 2021'!$H$5385+'[5]Acuerdo PLAN INVERSIÓN 2021'!$H$5415</f>
        <v>8766666</v>
      </c>
      <c r="DD67" s="46">
        <f t="shared" si="8"/>
        <v>0.44669426733780759</v>
      </c>
      <c r="DE67" s="44">
        <f t="shared" si="44"/>
        <v>79868935</v>
      </c>
      <c r="DF67" s="44">
        <f t="shared" ref="DF67:DT76" si="51">+J67-CG67</f>
        <v>0</v>
      </c>
      <c r="DG67" s="44">
        <f t="shared" si="51"/>
        <v>39835601</v>
      </c>
      <c r="DH67" s="44">
        <f t="shared" si="51"/>
        <v>0</v>
      </c>
      <c r="DI67" s="44">
        <f t="shared" si="51"/>
        <v>0</v>
      </c>
      <c r="DJ67" s="44">
        <f t="shared" si="51"/>
        <v>0</v>
      </c>
      <c r="DK67" s="44">
        <f t="shared" si="51"/>
        <v>0</v>
      </c>
      <c r="DL67" s="44">
        <f t="shared" si="51"/>
        <v>0</v>
      </c>
      <c r="DM67" s="44">
        <f t="shared" si="51"/>
        <v>0</v>
      </c>
      <c r="DN67" s="44">
        <f t="shared" si="51"/>
        <v>0</v>
      </c>
      <c r="DO67" s="44">
        <f t="shared" si="51"/>
        <v>0</v>
      </c>
      <c r="DP67" s="44">
        <f t="shared" si="51"/>
        <v>0</v>
      </c>
      <c r="DQ67" s="44">
        <f t="shared" si="51"/>
        <v>0</v>
      </c>
      <c r="DR67" s="44">
        <f t="shared" si="51"/>
        <v>0</v>
      </c>
      <c r="DS67" s="44">
        <f t="shared" si="51"/>
        <v>0</v>
      </c>
      <c r="DT67" s="44">
        <f t="shared" si="51"/>
        <v>0</v>
      </c>
      <c r="DU67" s="44">
        <f t="shared" si="49"/>
        <v>0</v>
      </c>
      <c r="DV67" s="44">
        <f t="shared" si="46"/>
        <v>0</v>
      </c>
      <c r="DW67" s="44">
        <f t="shared" si="46"/>
        <v>40000000</v>
      </c>
      <c r="DX67" s="44">
        <f t="shared" si="46"/>
        <v>0</v>
      </c>
      <c r="DY67" s="44">
        <f t="shared" si="46"/>
        <v>0</v>
      </c>
      <c r="DZ67" s="44">
        <f t="shared" si="46"/>
        <v>0</v>
      </c>
      <c r="EA67" s="44">
        <f t="shared" si="46"/>
        <v>0</v>
      </c>
      <c r="EB67" s="44">
        <f t="shared" si="46"/>
        <v>33334</v>
      </c>
    </row>
    <row r="68" spans="1:132" ht="19.149999999999999" customHeight="1" x14ac:dyDescent="0.25">
      <c r="A68" s="93" t="s">
        <v>169</v>
      </c>
      <c r="B68" s="77" t="s">
        <v>213</v>
      </c>
      <c r="C68" s="59" t="s">
        <v>214</v>
      </c>
      <c r="D68" s="41" t="s">
        <v>215</v>
      </c>
      <c r="E68" s="42">
        <v>520</v>
      </c>
      <c r="F68" s="43" t="s">
        <v>102</v>
      </c>
      <c r="G68" s="44">
        <f t="shared" si="37"/>
        <v>103866666</v>
      </c>
      <c r="H68" s="45">
        <v>154600000</v>
      </c>
      <c r="I68" s="45">
        <f t="shared" si="47"/>
        <v>50733334</v>
      </c>
      <c r="J68" s="78"/>
      <c r="K68" s="44">
        <f>50000000+10000000</f>
        <v>60000000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>
        <f>10000000</f>
        <v>10000000</v>
      </c>
      <c r="AB68" s="44">
        <v>33866666</v>
      </c>
      <c r="AC68" s="44"/>
      <c r="AD68" s="44"/>
      <c r="AE68" s="44"/>
      <c r="AF68" s="44"/>
      <c r="AG68" s="46">
        <f t="shared" si="1"/>
        <v>1</v>
      </c>
      <c r="AH68" s="44">
        <f t="shared" si="38"/>
        <v>103866666</v>
      </c>
      <c r="AI68" s="44"/>
      <c r="AJ68" s="44">
        <f>+'[4]Acuerdo PLAN INVERSIÓN 2021'!$J$2245</f>
        <v>60000000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>
        <f>+'[4]Acuerdo PLAN INVERSIÓN 2021'!$X$2245</f>
        <v>10000000</v>
      </c>
      <c r="BA68" s="44">
        <f>+'[1]Acuerdo PLAN INVERSIÓN 2021'!$Y$3839</f>
        <v>33866666</v>
      </c>
      <c r="BB68" s="44"/>
      <c r="BC68" s="44"/>
      <c r="BD68" s="44"/>
      <c r="BE68" s="44"/>
      <c r="BF68" s="46">
        <f t="shared" si="12"/>
        <v>0</v>
      </c>
      <c r="BG68" s="44">
        <f t="shared" si="39"/>
        <v>0</v>
      </c>
      <c r="BH68" s="44">
        <f t="shared" si="50"/>
        <v>0</v>
      </c>
      <c r="BI68" s="44">
        <f t="shared" si="50"/>
        <v>0</v>
      </c>
      <c r="BJ68" s="44">
        <f t="shared" si="50"/>
        <v>0</v>
      </c>
      <c r="BK68" s="44">
        <f t="shared" si="50"/>
        <v>0</v>
      </c>
      <c r="BL68" s="44">
        <f t="shared" si="50"/>
        <v>0</v>
      </c>
      <c r="BM68" s="44">
        <f t="shared" si="50"/>
        <v>0</v>
      </c>
      <c r="BN68" s="44">
        <f t="shared" si="50"/>
        <v>0</v>
      </c>
      <c r="BO68" s="44">
        <f t="shared" si="50"/>
        <v>0</v>
      </c>
      <c r="BP68" s="44">
        <f t="shared" si="50"/>
        <v>0</v>
      </c>
      <c r="BQ68" s="44">
        <f t="shared" si="50"/>
        <v>0</v>
      </c>
      <c r="BR68" s="44">
        <f t="shared" si="50"/>
        <v>0</v>
      </c>
      <c r="BS68" s="44">
        <f t="shared" si="50"/>
        <v>0</v>
      </c>
      <c r="BT68" s="44">
        <f t="shared" si="50"/>
        <v>0</v>
      </c>
      <c r="BU68" s="44">
        <f t="shared" si="50"/>
        <v>0</v>
      </c>
      <c r="BV68" s="44">
        <f t="shared" si="50"/>
        <v>0</v>
      </c>
      <c r="BW68" s="44">
        <f t="shared" si="48"/>
        <v>0</v>
      </c>
      <c r="BX68" s="44">
        <f t="shared" si="41"/>
        <v>0</v>
      </c>
      <c r="BY68" s="44">
        <f t="shared" si="41"/>
        <v>0</v>
      </c>
      <c r="BZ68" s="44">
        <f t="shared" si="41"/>
        <v>0</v>
      </c>
      <c r="CA68" s="44">
        <f t="shared" si="41"/>
        <v>0</v>
      </c>
      <c r="CB68" s="44">
        <f t="shared" si="41"/>
        <v>0</v>
      </c>
      <c r="CC68" s="44">
        <f t="shared" si="41"/>
        <v>0</v>
      </c>
      <c r="CD68" s="44">
        <f t="shared" si="41"/>
        <v>0</v>
      </c>
      <c r="CE68" s="46">
        <f t="shared" si="42"/>
        <v>0.95986768266924061</v>
      </c>
      <c r="CF68" s="44">
        <f t="shared" si="43"/>
        <v>99698256</v>
      </c>
      <c r="CG68" s="44"/>
      <c r="CH68" s="4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>
        <f>+'[3]Acuerdo PLAN INVERSIÓN 2021'!$H$2715</f>
        <v>10000000</v>
      </c>
      <c r="CY68" s="44">
        <f>+'[5]Acuerdo PLAN INVERSIÓN 2021'!$H$5447</f>
        <v>29706596</v>
      </c>
      <c r="CZ68" s="44"/>
      <c r="DA68" s="44"/>
      <c r="DB68" s="44"/>
      <c r="DC68" s="44"/>
      <c r="DD68" s="46">
        <f t="shared" si="8"/>
        <v>4.0132317330759393E-2</v>
      </c>
      <c r="DE68" s="44">
        <f t="shared" si="44"/>
        <v>4168410</v>
      </c>
      <c r="DF68" s="44">
        <f t="shared" si="51"/>
        <v>0</v>
      </c>
      <c r="DG68" s="44">
        <f t="shared" si="51"/>
        <v>8340</v>
      </c>
      <c r="DH68" s="44">
        <f t="shared" si="51"/>
        <v>0</v>
      </c>
      <c r="DI68" s="44">
        <f t="shared" si="51"/>
        <v>0</v>
      </c>
      <c r="DJ68" s="44">
        <f t="shared" si="51"/>
        <v>0</v>
      </c>
      <c r="DK68" s="44">
        <f t="shared" si="51"/>
        <v>0</v>
      </c>
      <c r="DL68" s="44">
        <f t="shared" si="51"/>
        <v>0</v>
      </c>
      <c r="DM68" s="44">
        <f t="shared" si="51"/>
        <v>0</v>
      </c>
      <c r="DN68" s="44">
        <f t="shared" si="51"/>
        <v>0</v>
      </c>
      <c r="DO68" s="44">
        <f t="shared" si="51"/>
        <v>0</v>
      </c>
      <c r="DP68" s="44">
        <f t="shared" si="51"/>
        <v>0</v>
      </c>
      <c r="DQ68" s="44">
        <f t="shared" si="51"/>
        <v>0</v>
      </c>
      <c r="DR68" s="44">
        <f t="shared" si="51"/>
        <v>0</v>
      </c>
      <c r="DS68" s="44">
        <f t="shared" si="51"/>
        <v>0</v>
      </c>
      <c r="DT68" s="44">
        <f t="shared" si="51"/>
        <v>0</v>
      </c>
      <c r="DU68" s="44">
        <f t="shared" si="49"/>
        <v>0</v>
      </c>
      <c r="DV68" s="44">
        <f t="shared" si="46"/>
        <v>0</v>
      </c>
      <c r="DW68" s="44">
        <f t="shared" si="46"/>
        <v>0</v>
      </c>
      <c r="DX68" s="44">
        <f t="shared" si="46"/>
        <v>4160070</v>
      </c>
      <c r="DY68" s="44">
        <f t="shared" si="46"/>
        <v>0</v>
      </c>
      <c r="DZ68" s="44">
        <f t="shared" si="46"/>
        <v>0</v>
      </c>
      <c r="EA68" s="44">
        <f t="shared" si="46"/>
        <v>0</v>
      </c>
      <c r="EB68" s="44">
        <f t="shared" si="46"/>
        <v>0</v>
      </c>
    </row>
    <row r="69" spans="1:132" ht="20.45" customHeight="1" x14ac:dyDescent="0.25">
      <c r="A69" s="97"/>
      <c r="B69" s="84"/>
      <c r="C69" s="59" t="s">
        <v>216</v>
      </c>
      <c r="D69" s="41" t="s">
        <v>217</v>
      </c>
      <c r="E69" s="42">
        <v>520</v>
      </c>
      <c r="F69" s="43" t="s">
        <v>102</v>
      </c>
      <c r="G69" s="44">
        <f t="shared" si="37"/>
        <v>158894278</v>
      </c>
      <c r="H69" s="45">
        <v>148300000</v>
      </c>
      <c r="I69" s="45">
        <f t="shared" si="47"/>
        <v>-10594278</v>
      </c>
      <c r="J69" s="78"/>
      <c r="K69" s="44">
        <f>50000000+14174278+12091750</f>
        <v>76266028</v>
      </c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80"/>
      <c r="AA69" s="44">
        <f>20000000+20000000</f>
        <v>40000000</v>
      </c>
      <c r="AB69" s="44">
        <f>30000000+12628250</f>
        <v>42628250</v>
      </c>
      <c r="AC69" s="44"/>
      <c r="AD69" s="44"/>
      <c r="AE69" s="44"/>
      <c r="AF69" s="44"/>
      <c r="AG69" s="46">
        <f t="shared" si="1"/>
        <v>1</v>
      </c>
      <c r="AH69" s="44">
        <f t="shared" si="38"/>
        <v>158894278</v>
      </c>
      <c r="AI69" s="44"/>
      <c r="AJ69" s="44">
        <f>+'[1]Acuerdo PLAN INVERSIÓN 2021'!$J$3872</f>
        <v>76266028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>
        <f>+'[1]Acuerdo PLAN INVERSIÓN 2021'!$X$3872</f>
        <v>40000000</v>
      </c>
      <c r="BA69" s="44">
        <f>+'[1]Acuerdo PLAN INVERSIÓN 2021'!$Y$3872</f>
        <v>42628250</v>
      </c>
      <c r="BB69" s="44"/>
      <c r="BC69" s="44"/>
      <c r="BD69" s="44"/>
      <c r="BE69" s="44"/>
      <c r="BF69" s="46">
        <f t="shared" si="12"/>
        <v>0</v>
      </c>
      <c r="BG69" s="44">
        <f t="shared" si="39"/>
        <v>0</v>
      </c>
      <c r="BH69" s="44">
        <f t="shared" si="50"/>
        <v>0</v>
      </c>
      <c r="BI69" s="44">
        <f t="shared" si="50"/>
        <v>0</v>
      </c>
      <c r="BJ69" s="44">
        <f t="shared" si="50"/>
        <v>0</v>
      </c>
      <c r="BK69" s="44">
        <f t="shared" si="50"/>
        <v>0</v>
      </c>
      <c r="BL69" s="44">
        <f t="shared" si="50"/>
        <v>0</v>
      </c>
      <c r="BM69" s="44">
        <f t="shared" si="50"/>
        <v>0</v>
      </c>
      <c r="BN69" s="44">
        <f t="shared" si="50"/>
        <v>0</v>
      </c>
      <c r="BO69" s="44">
        <f t="shared" si="50"/>
        <v>0</v>
      </c>
      <c r="BP69" s="44">
        <f t="shared" si="50"/>
        <v>0</v>
      </c>
      <c r="BQ69" s="44">
        <f t="shared" si="50"/>
        <v>0</v>
      </c>
      <c r="BR69" s="44">
        <f t="shared" si="50"/>
        <v>0</v>
      </c>
      <c r="BS69" s="44">
        <f t="shared" si="50"/>
        <v>0</v>
      </c>
      <c r="BT69" s="44">
        <f t="shared" si="50"/>
        <v>0</v>
      </c>
      <c r="BU69" s="44">
        <f t="shared" si="50"/>
        <v>0</v>
      </c>
      <c r="BV69" s="44">
        <f t="shared" si="50"/>
        <v>0</v>
      </c>
      <c r="BW69" s="44">
        <f t="shared" si="48"/>
        <v>0</v>
      </c>
      <c r="BX69" s="44">
        <f t="shared" si="41"/>
        <v>0</v>
      </c>
      <c r="BY69" s="44">
        <f t="shared" si="41"/>
        <v>0</v>
      </c>
      <c r="BZ69" s="44">
        <f t="shared" si="41"/>
        <v>0</v>
      </c>
      <c r="CA69" s="44">
        <f t="shared" si="41"/>
        <v>0</v>
      </c>
      <c r="CB69" s="44">
        <f t="shared" si="41"/>
        <v>0</v>
      </c>
      <c r="CC69" s="44">
        <f t="shared" si="41"/>
        <v>0</v>
      </c>
      <c r="CD69" s="44">
        <f t="shared" si="41"/>
        <v>0</v>
      </c>
      <c r="CE69" s="46">
        <f t="shared" si="42"/>
        <v>0.93749276484330035</v>
      </c>
      <c r="CF69" s="44">
        <f t="shared" si="43"/>
        <v>148962236</v>
      </c>
      <c r="CG69" s="44"/>
      <c r="CH69" s="44">
        <f>+'[5]Acuerdo PLAN INVERSIÓN 2021'!$H$5454-CX69-CY69</f>
        <v>75530428</v>
      </c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>
        <f>+'[5]Acuerdo PLAN INVERSIÓN 2021'!$H$5470+'[5]Acuerdo PLAN INVERSIÓN 2021'!$H$5477+'[5]Acuerdo PLAN INVERSIÓN 2021'!$H$5487+'[5]Acuerdo PLAN INVERSIÓN 2021'!$H$5496+'[5]Acuerdo PLAN INVERSIÓN 2021'!$H$5505+'[5]Acuerdo PLAN INVERSIÓN 2021'!$H$5509+'[5]Acuerdo PLAN INVERSIÓN 2021'!$H$5513</f>
        <v>31486196</v>
      </c>
      <c r="CY69" s="44">
        <f>+'[5]Acuerdo PLAN INVERSIÓN 2021'!$H$5480+'[5]Acuerdo PLAN INVERSIÓN 2021'!$H$5491+'[5]Acuerdo PLAN INVERSIÓN 2021'!$H$5517</f>
        <v>41945612</v>
      </c>
      <c r="CZ69" s="44"/>
      <c r="DA69" s="44"/>
      <c r="DB69" s="44"/>
      <c r="DC69" s="44"/>
      <c r="DD69" s="46">
        <f t="shared" si="8"/>
        <v>6.2507235156699648E-2</v>
      </c>
      <c r="DE69" s="44">
        <f t="shared" si="44"/>
        <v>9932042</v>
      </c>
      <c r="DF69" s="44">
        <f t="shared" si="51"/>
        <v>0</v>
      </c>
      <c r="DG69" s="44">
        <f t="shared" si="51"/>
        <v>735600</v>
      </c>
      <c r="DH69" s="44">
        <f t="shared" si="51"/>
        <v>0</v>
      </c>
      <c r="DI69" s="44">
        <f t="shared" si="51"/>
        <v>0</v>
      </c>
      <c r="DJ69" s="44">
        <f t="shared" si="51"/>
        <v>0</v>
      </c>
      <c r="DK69" s="44">
        <f t="shared" si="51"/>
        <v>0</v>
      </c>
      <c r="DL69" s="44">
        <f t="shared" si="51"/>
        <v>0</v>
      </c>
      <c r="DM69" s="44">
        <f t="shared" si="51"/>
        <v>0</v>
      </c>
      <c r="DN69" s="44">
        <f t="shared" si="51"/>
        <v>0</v>
      </c>
      <c r="DO69" s="44">
        <f t="shared" si="51"/>
        <v>0</v>
      </c>
      <c r="DP69" s="44">
        <f t="shared" si="51"/>
        <v>0</v>
      </c>
      <c r="DQ69" s="44">
        <f t="shared" si="51"/>
        <v>0</v>
      </c>
      <c r="DR69" s="44">
        <f t="shared" si="51"/>
        <v>0</v>
      </c>
      <c r="DS69" s="44">
        <f t="shared" si="51"/>
        <v>0</v>
      </c>
      <c r="DT69" s="44">
        <f t="shared" si="51"/>
        <v>0</v>
      </c>
      <c r="DU69" s="44">
        <f t="shared" si="49"/>
        <v>0</v>
      </c>
      <c r="DV69" s="44">
        <f t="shared" si="46"/>
        <v>0</v>
      </c>
      <c r="DW69" s="44">
        <f t="shared" si="46"/>
        <v>8513804</v>
      </c>
      <c r="DX69" s="44">
        <f t="shared" si="46"/>
        <v>682638</v>
      </c>
      <c r="DY69" s="44">
        <f t="shared" si="46"/>
        <v>0</v>
      </c>
      <c r="DZ69" s="44">
        <f t="shared" si="46"/>
        <v>0</v>
      </c>
      <c r="EA69" s="44">
        <f t="shared" si="46"/>
        <v>0</v>
      </c>
      <c r="EB69" s="44">
        <f t="shared" si="46"/>
        <v>0</v>
      </c>
    </row>
    <row r="70" spans="1:132" ht="17.45" customHeight="1" x14ac:dyDescent="0.25">
      <c r="A70" s="97"/>
      <c r="B70" s="84"/>
      <c r="C70" s="59" t="s">
        <v>218</v>
      </c>
      <c r="D70" s="41" t="s">
        <v>219</v>
      </c>
      <c r="E70" s="42">
        <v>520</v>
      </c>
      <c r="F70" s="43" t="s">
        <v>102</v>
      </c>
      <c r="G70" s="44">
        <f t="shared" si="37"/>
        <v>60000000</v>
      </c>
      <c r="H70" s="45">
        <v>90200000</v>
      </c>
      <c r="I70" s="45">
        <f t="shared" si="47"/>
        <v>30200000</v>
      </c>
      <c r="J70" s="78"/>
      <c r="K70" s="44">
        <f>40000000+10000000</f>
        <v>50000000</v>
      </c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80"/>
      <c r="AA70" s="44">
        <f t="shared" ref="AA70:AA75" si="52">10000000</f>
        <v>10000000</v>
      </c>
      <c r="AB70" s="44"/>
      <c r="AC70" s="44"/>
      <c r="AD70" s="44"/>
      <c r="AE70" s="44"/>
      <c r="AF70" s="44"/>
      <c r="AG70" s="46">
        <f t="shared" ref="AG70:AG129" si="53">AH70/G70</f>
        <v>0.8843333333333333</v>
      </c>
      <c r="AH70" s="44">
        <f t="shared" si="38"/>
        <v>53060000</v>
      </c>
      <c r="AI70" s="44"/>
      <c r="AJ70" s="44">
        <f>+'[5]Acuerdo PLAN INVERSIÓN 2021'!$J$5522</f>
        <v>43060000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>
        <f>+'[4]Acuerdo PLAN INVERSIÓN 2021'!$X$2297</f>
        <v>10000000</v>
      </c>
      <c r="BA70" s="44"/>
      <c r="BB70" s="44"/>
      <c r="BC70" s="44"/>
      <c r="BD70" s="44"/>
      <c r="BE70" s="44"/>
      <c r="BF70" s="46">
        <f t="shared" si="12"/>
        <v>0.1156666666666667</v>
      </c>
      <c r="BG70" s="44">
        <f t="shared" si="39"/>
        <v>6940000</v>
      </c>
      <c r="BH70" s="44">
        <f t="shared" si="50"/>
        <v>0</v>
      </c>
      <c r="BI70" s="44">
        <f t="shared" si="50"/>
        <v>6940000</v>
      </c>
      <c r="BJ70" s="44">
        <f t="shared" si="50"/>
        <v>0</v>
      </c>
      <c r="BK70" s="44">
        <f t="shared" si="50"/>
        <v>0</v>
      </c>
      <c r="BL70" s="44">
        <f t="shared" si="50"/>
        <v>0</v>
      </c>
      <c r="BM70" s="44">
        <f t="shared" si="50"/>
        <v>0</v>
      </c>
      <c r="BN70" s="44">
        <f t="shared" si="50"/>
        <v>0</v>
      </c>
      <c r="BO70" s="44">
        <f t="shared" si="50"/>
        <v>0</v>
      </c>
      <c r="BP70" s="44">
        <f t="shared" si="50"/>
        <v>0</v>
      </c>
      <c r="BQ70" s="44">
        <f t="shared" si="50"/>
        <v>0</v>
      </c>
      <c r="BR70" s="44">
        <f t="shared" si="50"/>
        <v>0</v>
      </c>
      <c r="BS70" s="44">
        <f t="shared" si="50"/>
        <v>0</v>
      </c>
      <c r="BT70" s="44">
        <f t="shared" si="50"/>
        <v>0</v>
      </c>
      <c r="BU70" s="44">
        <f t="shared" si="50"/>
        <v>0</v>
      </c>
      <c r="BV70" s="44">
        <f t="shared" si="50"/>
        <v>0</v>
      </c>
      <c r="BW70" s="44">
        <f t="shared" si="48"/>
        <v>0</v>
      </c>
      <c r="BX70" s="44">
        <f t="shared" si="41"/>
        <v>0</v>
      </c>
      <c r="BY70" s="44">
        <f t="shared" si="41"/>
        <v>0</v>
      </c>
      <c r="BZ70" s="44">
        <f t="shared" si="41"/>
        <v>0</v>
      </c>
      <c r="CA70" s="44">
        <f t="shared" si="41"/>
        <v>0</v>
      </c>
      <c r="CB70" s="44">
        <f t="shared" si="41"/>
        <v>0</v>
      </c>
      <c r="CC70" s="44">
        <f t="shared" si="41"/>
        <v>0</v>
      </c>
      <c r="CD70" s="44">
        <f t="shared" si="41"/>
        <v>0</v>
      </c>
      <c r="CE70" s="46">
        <f t="shared" si="42"/>
        <v>0.6073995333333333</v>
      </c>
      <c r="CF70" s="44">
        <f t="shared" si="43"/>
        <v>36443972</v>
      </c>
      <c r="CG70" s="44"/>
      <c r="CH70" s="44">
        <f>+'[5]Acuerdo PLAN INVERSIÓN 2021'!$H$5520</f>
        <v>36443972</v>
      </c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6">
        <f t="shared" ref="DD70:DD129" si="54">1-CE70</f>
        <v>0.3926004666666667</v>
      </c>
      <c r="DE70" s="44">
        <f t="shared" si="44"/>
        <v>23556028</v>
      </c>
      <c r="DF70" s="44">
        <f t="shared" si="51"/>
        <v>0</v>
      </c>
      <c r="DG70" s="44">
        <f t="shared" si="51"/>
        <v>13556028</v>
      </c>
      <c r="DH70" s="44">
        <f t="shared" si="51"/>
        <v>0</v>
      </c>
      <c r="DI70" s="44">
        <f t="shared" si="51"/>
        <v>0</v>
      </c>
      <c r="DJ70" s="44">
        <f t="shared" si="51"/>
        <v>0</v>
      </c>
      <c r="DK70" s="44">
        <f t="shared" si="51"/>
        <v>0</v>
      </c>
      <c r="DL70" s="44">
        <f t="shared" si="51"/>
        <v>0</v>
      </c>
      <c r="DM70" s="44">
        <f t="shared" si="51"/>
        <v>0</v>
      </c>
      <c r="DN70" s="44">
        <f t="shared" si="51"/>
        <v>0</v>
      </c>
      <c r="DO70" s="44">
        <f t="shared" si="51"/>
        <v>0</v>
      </c>
      <c r="DP70" s="44">
        <f t="shared" si="51"/>
        <v>0</v>
      </c>
      <c r="DQ70" s="44">
        <f t="shared" si="51"/>
        <v>0</v>
      </c>
      <c r="DR70" s="44">
        <f t="shared" si="51"/>
        <v>0</v>
      </c>
      <c r="DS70" s="44">
        <f t="shared" si="51"/>
        <v>0</v>
      </c>
      <c r="DT70" s="44">
        <f t="shared" si="51"/>
        <v>0</v>
      </c>
      <c r="DU70" s="44">
        <f t="shared" si="49"/>
        <v>0</v>
      </c>
      <c r="DV70" s="44">
        <f t="shared" si="46"/>
        <v>0</v>
      </c>
      <c r="DW70" s="44">
        <f t="shared" si="46"/>
        <v>10000000</v>
      </c>
      <c r="DX70" s="44">
        <f t="shared" si="46"/>
        <v>0</v>
      </c>
      <c r="DY70" s="44">
        <f t="shared" si="46"/>
        <v>0</v>
      </c>
      <c r="DZ70" s="44">
        <f t="shared" si="46"/>
        <v>0</v>
      </c>
      <c r="EA70" s="44">
        <f t="shared" si="46"/>
        <v>0</v>
      </c>
      <c r="EB70" s="44">
        <f t="shared" si="46"/>
        <v>0</v>
      </c>
    </row>
    <row r="71" spans="1:132" ht="35.25" customHeight="1" x14ac:dyDescent="0.25">
      <c r="A71" s="97"/>
      <c r="B71" s="84"/>
      <c r="C71" s="59" t="s">
        <v>220</v>
      </c>
      <c r="D71" s="41" t="s">
        <v>221</v>
      </c>
      <c r="E71" s="42">
        <v>520</v>
      </c>
      <c r="F71" s="43" t="s">
        <v>222</v>
      </c>
      <c r="G71" s="44">
        <f t="shared" si="37"/>
        <v>216876230</v>
      </c>
      <c r="H71" s="45">
        <v>167900000</v>
      </c>
      <c r="I71" s="45">
        <f t="shared" si="47"/>
        <v>-48976230</v>
      </c>
      <c r="J71" s="78"/>
      <c r="K71" s="44">
        <f>50000000+10000000</f>
        <v>60000000</v>
      </c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80"/>
      <c r="AA71" s="44">
        <f t="shared" si="52"/>
        <v>10000000</v>
      </c>
      <c r="AB71" s="44">
        <v>44686667</v>
      </c>
      <c r="AC71" s="44"/>
      <c r="AD71" s="44"/>
      <c r="AE71" s="44"/>
      <c r="AF71" s="44">
        <f>50000000+4700669+5000000+4500000+15000000+8268206+9720688+5000000</f>
        <v>102189563</v>
      </c>
      <c r="AG71" s="46">
        <f t="shared" si="53"/>
        <v>0.96559170177386433</v>
      </c>
      <c r="AH71" s="44">
        <f t="shared" si="38"/>
        <v>209413888</v>
      </c>
      <c r="AI71" s="44"/>
      <c r="AJ71" s="44">
        <f>+'[4]Acuerdo PLAN INVERSIÓN 2021'!$J$2325</f>
        <v>60000000</v>
      </c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>
        <f>+'[4]Acuerdo PLAN INVERSIÓN 2021'!$X$2325</f>
        <v>10000000</v>
      </c>
      <c r="BA71" s="44">
        <f>+'[1]Acuerdo PLAN INVERSIÓN 2021'!$Y$3959</f>
        <v>44686666</v>
      </c>
      <c r="BB71" s="44"/>
      <c r="BC71" s="44"/>
      <c r="BD71" s="44"/>
      <c r="BE71" s="44">
        <f>+'[5]Acuerdo PLAN INVERSIÓN 2021'!$AF$5572</f>
        <v>94727222</v>
      </c>
      <c r="BF71" s="46">
        <f t="shared" ref="BF71:BF129" si="55">1-AG71</f>
        <v>3.440829822613567E-2</v>
      </c>
      <c r="BG71" s="44">
        <f t="shared" si="39"/>
        <v>7462342</v>
      </c>
      <c r="BH71" s="44">
        <f t="shared" si="50"/>
        <v>0</v>
      </c>
      <c r="BI71" s="44">
        <f t="shared" si="50"/>
        <v>0</v>
      </c>
      <c r="BJ71" s="44">
        <f t="shared" si="50"/>
        <v>0</v>
      </c>
      <c r="BK71" s="44">
        <f t="shared" si="50"/>
        <v>0</v>
      </c>
      <c r="BL71" s="44">
        <f t="shared" si="50"/>
        <v>0</v>
      </c>
      <c r="BM71" s="44">
        <f t="shared" si="50"/>
        <v>0</v>
      </c>
      <c r="BN71" s="44">
        <f t="shared" si="50"/>
        <v>0</v>
      </c>
      <c r="BO71" s="44">
        <f t="shared" si="50"/>
        <v>0</v>
      </c>
      <c r="BP71" s="44">
        <f t="shared" si="50"/>
        <v>0</v>
      </c>
      <c r="BQ71" s="44">
        <f t="shared" si="50"/>
        <v>0</v>
      </c>
      <c r="BR71" s="44">
        <f t="shared" si="50"/>
        <v>0</v>
      </c>
      <c r="BS71" s="44">
        <f t="shared" si="50"/>
        <v>0</v>
      </c>
      <c r="BT71" s="44">
        <f t="shared" si="50"/>
        <v>0</v>
      </c>
      <c r="BU71" s="44">
        <f t="shared" si="50"/>
        <v>0</v>
      </c>
      <c r="BV71" s="44">
        <f t="shared" si="50"/>
        <v>0</v>
      </c>
      <c r="BW71" s="44">
        <f t="shared" si="48"/>
        <v>0</v>
      </c>
      <c r="BX71" s="44">
        <f t="shared" si="41"/>
        <v>0</v>
      </c>
      <c r="BY71" s="44">
        <f t="shared" si="41"/>
        <v>0</v>
      </c>
      <c r="BZ71" s="44">
        <f t="shared" si="41"/>
        <v>1</v>
      </c>
      <c r="CA71" s="44">
        <f t="shared" si="41"/>
        <v>0</v>
      </c>
      <c r="CB71" s="44">
        <f t="shared" si="41"/>
        <v>0</v>
      </c>
      <c r="CC71" s="44">
        <f t="shared" si="41"/>
        <v>0</v>
      </c>
      <c r="CD71" s="44">
        <f t="shared" si="41"/>
        <v>7462341</v>
      </c>
      <c r="CE71" s="46">
        <f t="shared" si="42"/>
        <v>0.90264926681914381</v>
      </c>
      <c r="CF71" s="44">
        <f t="shared" si="43"/>
        <v>195763170</v>
      </c>
      <c r="CG71" s="44"/>
      <c r="CH71" s="44">
        <f>+'[3]Acuerdo PLAN INVERSIÓN 2021'!$H$2786+'[3]Acuerdo PLAN INVERSIÓN 2021'!$H$2792+'[3]Acuerdo PLAN INVERSIÓN 2021'!$H$2817+'[3]Acuerdo PLAN INVERSIÓN 2021'!$H$2822</f>
        <v>60000000</v>
      </c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>
        <f>+'[6]Acuerdo PLAN INVERSIÓN 2021'!$H$4785</f>
        <v>9914671</v>
      </c>
      <c r="CY71" s="44">
        <f>+'[1]Acuerdo PLAN INVERSIÓN 2021'!$H$4005</f>
        <v>44686498</v>
      </c>
      <c r="CZ71" s="44"/>
      <c r="DA71" s="44"/>
      <c r="DB71" s="44"/>
      <c r="DC71" s="44">
        <f>+'[6]Acuerdo PLAN INVERSIÓN 2021'!$H$4768+'[6]Acuerdo PLAN INVERSIÓN 2021'!$H$4772+'[6]Acuerdo PLAN INVERSIÓN 2021'!$H$4775+'[6]Acuerdo PLAN INVERSIÓN 2021'!$H$4778+'[6]Acuerdo PLAN INVERSIÓN 2021'!$H$4782+'[6]Acuerdo PLAN INVERSIÓN 2021'!$H$4797+'[6]Acuerdo PLAN INVERSIÓN 2021'!$H$4800+'[6]Acuerdo PLAN INVERSIÓN 2021'!$H$4810+'[6]Acuerdo PLAN INVERSIÓN 2021'!$H$4813+'[5]Acuerdo PLAN INVERSIÓN 2021'!$H$5636</f>
        <v>81162001</v>
      </c>
      <c r="DD71" s="46">
        <f t="shared" si="54"/>
        <v>9.7350733180856186E-2</v>
      </c>
      <c r="DE71" s="44">
        <f t="shared" si="44"/>
        <v>21113060</v>
      </c>
      <c r="DF71" s="44">
        <f t="shared" si="51"/>
        <v>0</v>
      </c>
      <c r="DG71" s="44">
        <f t="shared" si="51"/>
        <v>0</v>
      </c>
      <c r="DH71" s="44">
        <f t="shared" si="51"/>
        <v>0</v>
      </c>
      <c r="DI71" s="44">
        <f t="shared" si="51"/>
        <v>0</v>
      </c>
      <c r="DJ71" s="44">
        <f t="shared" si="51"/>
        <v>0</v>
      </c>
      <c r="DK71" s="44">
        <f t="shared" si="51"/>
        <v>0</v>
      </c>
      <c r="DL71" s="44">
        <f t="shared" si="51"/>
        <v>0</v>
      </c>
      <c r="DM71" s="44">
        <f t="shared" si="51"/>
        <v>0</v>
      </c>
      <c r="DN71" s="44">
        <f t="shared" si="51"/>
        <v>0</v>
      </c>
      <c r="DO71" s="44">
        <f t="shared" si="51"/>
        <v>0</v>
      </c>
      <c r="DP71" s="44">
        <f t="shared" si="51"/>
        <v>0</v>
      </c>
      <c r="DQ71" s="44">
        <f t="shared" si="51"/>
        <v>0</v>
      </c>
      <c r="DR71" s="44">
        <f t="shared" si="51"/>
        <v>0</v>
      </c>
      <c r="DS71" s="44">
        <f t="shared" si="51"/>
        <v>0</v>
      </c>
      <c r="DT71" s="44">
        <f t="shared" si="51"/>
        <v>0</v>
      </c>
      <c r="DU71" s="44">
        <f t="shared" si="49"/>
        <v>0</v>
      </c>
      <c r="DV71" s="44">
        <f t="shared" si="46"/>
        <v>0</v>
      </c>
      <c r="DW71" s="44">
        <f t="shared" si="46"/>
        <v>85329</v>
      </c>
      <c r="DX71" s="44">
        <f t="shared" si="46"/>
        <v>169</v>
      </c>
      <c r="DY71" s="44">
        <f t="shared" si="46"/>
        <v>0</v>
      </c>
      <c r="DZ71" s="44">
        <f t="shared" si="46"/>
        <v>0</v>
      </c>
      <c r="EA71" s="44">
        <f t="shared" si="46"/>
        <v>0</v>
      </c>
      <c r="EB71" s="44">
        <f t="shared" si="46"/>
        <v>21027562</v>
      </c>
    </row>
    <row r="72" spans="1:132" ht="36" customHeight="1" x14ac:dyDescent="0.25">
      <c r="A72" s="97"/>
      <c r="B72" s="77" t="s">
        <v>223</v>
      </c>
      <c r="C72" s="59" t="s">
        <v>224</v>
      </c>
      <c r="D72" s="41" t="s">
        <v>225</v>
      </c>
      <c r="E72" s="42">
        <v>520</v>
      </c>
      <c r="F72" s="43" t="s">
        <v>102</v>
      </c>
      <c r="G72" s="44">
        <f t="shared" si="37"/>
        <v>18000000</v>
      </c>
      <c r="H72" s="45">
        <v>130000000</v>
      </c>
      <c r="I72" s="45">
        <f t="shared" si="47"/>
        <v>112000000</v>
      </c>
      <c r="J72" s="78"/>
      <c r="K72" s="44">
        <f>20000000-12000000</f>
        <v>8000000</v>
      </c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80"/>
      <c r="AA72" s="44">
        <f t="shared" si="52"/>
        <v>10000000</v>
      </c>
      <c r="AB72" s="44"/>
      <c r="AC72" s="44"/>
      <c r="AD72" s="44"/>
      <c r="AE72" s="44"/>
      <c r="AF72" s="44"/>
      <c r="AG72" s="46">
        <f t="shared" si="53"/>
        <v>1</v>
      </c>
      <c r="AH72" s="44">
        <f t="shared" si="38"/>
        <v>18000000</v>
      </c>
      <c r="AI72" s="44"/>
      <c r="AJ72" s="44">
        <f>+'[6]Acuerdo PLAN INVERSIÓN 2021'!$J$4824</f>
        <v>8000000</v>
      </c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>
        <f>+'[4]Acuerdo PLAN INVERSIÓN 2021'!$X$2364</f>
        <v>10000000</v>
      </c>
      <c r="BA72" s="44"/>
      <c r="BB72" s="44"/>
      <c r="BC72" s="44"/>
      <c r="BD72" s="44"/>
      <c r="BE72" s="44"/>
      <c r="BF72" s="46">
        <f t="shared" si="55"/>
        <v>0</v>
      </c>
      <c r="BG72" s="44">
        <f t="shared" si="39"/>
        <v>0</v>
      </c>
      <c r="BH72" s="44">
        <f t="shared" si="50"/>
        <v>0</v>
      </c>
      <c r="BI72" s="44">
        <f t="shared" si="50"/>
        <v>0</v>
      </c>
      <c r="BJ72" s="44">
        <f t="shared" si="50"/>
        <v>0</v>
      </c>
      <c r="BK72" s="44">
        <f t="shared" si="50"/>
        <v>0</v>
      </c>
      <c r="BL72" s="44">
        <f t="shared" si="50"/>
        <v>0</v>
      </c>
      <c r="BM72" s="44">
        <f t="shared" si="50"/>
        <v>0</v>
      </c>
      <c r="BN72" s="44">
        <f t="shared" si="50"/>
        <v>0</v>
      </c>
      <c r="BO72" s="44">
        <f t="shared" si="50"/>
        <v>0</v>
      </c>
      <c r="BP72" s="44">
        <f t="shared" si="50"/>
        <v>0</v>
      </c>
      <c r="BQ72" s="44">
        <f t="shared" si="50"/>
        <v>0</v>
      </c>
      <c r="BR72" s="44">
        <f t="shared" si="50"/>
        <v>0</v>
      </c>
      <c r="BS72" s="44">
        <f t="shared" si="50"/>
        <v>0</v>
      </c>
      <c r="BT72" s="44">
        <f t="shared" si="50"/>
        <v>0</v>
      </c>
      <c r="BU72" s="44">
        <f t="shared" si="50"/>
        <v>0</v>
      </c>
      <c r="BV72" s="44">
        <f t="shared" si="50"/>
        <v>0</v>
      </c>
      <c r="BW72" s="44">
        <f t="shared" si="48"/>
        <v>0</v>
      </c>
      <c r="BX72" s="44">
        <f t="shared" si="41"/>
        <v>0</v>
      </c>
      <c r="BY72" s="44">
        <f t="shared" si="41"/>
        <v>0</v>
      </c>
      <c r="BZ72" s="44">
        <f t="shared" si="41"/>
        <v>0</v>
      </c>
      <c r="CA72" s="44">
        <f t="shared" si="41"/>
        <v>0</v>
      </c>
      <c r="CB72" s="44">
        <f t="shared" si="41"/>
        <v>0</v>
      </c>
      <c r="CC72" s="44">
        <f t="shared" si="41"/>
        <v>0</v>
      </c>
      <c r="CD72" s="44">
        <f t="shared" si="41"/>
        <v>0</v>
      </c>
      <c r="CE72" s="46">
        <f t="shared" si="42"/>
        <v>0.9999999444444444</v>
      </c>
      <c r="CF72" s="44">
        <f t="shared" si="43"/>
        <v>17999999</v>
      </c>
      <c r="CG72" s="44"/>
      <c r="CH72" s="44">
        <f>+'[5]Acuerdo PLAN INVERSIÓN 2021'!$H$5649+'[5]Acuerdo PLAN INVERSIÓN 2021'!$H$5652</f>
        <v>7999999</v>
      </c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>
        <f>+'[3]Acuerdo PLAN INVERSIÓN 2021'!$H$2837</f>
        <v>10000000</v>
      </c>
      <c r="CY72" s="44"/>
      <c r="CZ72" s="44"/>
      <c r="DA72" s="44"/>
      <c r="DB72" s="44"/>
      <c r="DC72" s="44"/>
      <c r="DD72" s="46">
        <f t="shared" si="54"/>
        <v>5.5555555600328432E-8</v>
      </c>
      <c r="DE72" s="44">
        <f t="shared" si="44"/>
        <v>1</v>
      </c>
      <c r="DF72" s="44">
        <f t="shared" si="51"/>
        <v>0</v>
      </c>
      <c r="DG72" s="44">
        <f t="shared" si="51"/>
        <v>1</v>
      </c>
      <c r="DH72" s="44">
        <f t="shared" si="51"/>
        <v>0</v>
      </c>
      <c r="DI72" s="44">
        <f t="shared" si="51"/>
        <v>0</v>
      </c>
      <c r="DJ72" s="44">
        <f t="shared" si="51"/>
        <v>0</v>
      </c>
      <c r="DK72" s="44">
        <f t="shared" si="51"/>
        <v>0</v>
      </c>
      <c r="DL72" s="44">
        <f t="shared" si="51"/>
        <v>0</v>
      </c>
      <c r="DM72" s="44">
        <f t="shared" si="51"/>
        <v>0</v>
      </c>
      <c r="DN72" s="44">
        <f t="shared" si="51"/>
        <v>0</v>
      </c>
      <c r="DO72" s="44">
        <f t="shared" si="51"/>
        <v>0</v>
      </c>
      <c r="DP72" s="44">
        <f t="shared" si="51"/>
        <v>0</v>
      </c>
      <c r="DQ72" s="44">
        <f t="shared" si="51"/>
        <v>0</v>
      </c>
      <c r="DR72" s="44">
        <f t="shared" si="51"/>
        <v>0</v>
      </c>
      <c r="DS72" s="44">
        <f t="shared" si="51"/>
        <v>0</v>
      </c>
      <c r="DT72" s="44">
        <f t="shared" si="51"/>
        <v>0</v>
      </c>
      <c r="DU72" s="44">
        <f t="shared" si="49"/>
        <v>0</v>
      </c>
      <c r="DV72" s="44">
        <f t="shared" si="46"/>
        <v>0</v>
      </c>
      <c r="DW72" s="44">
        <f t="shared" si="46"/>
        <v>0</v>
      </c>
      <c r="DX72" s="44">
        <f t="shared" si="46"/>
        <v>0</v>
      </c>
      <c r="DY72" s="44">
        <f t="shared" si="46"/>
        <v>0</v>
      </c>
      <c r="DZ72" s="44">
        <f t="shared" si="46"/>
        <v>0</v>
      </c>
      <c r="EA72" s="44">
        <f t="shared" si="46"/>
        <v>0</v>
      </c>
      <c r="EB72" s="44">
        <f t="shared" si="46"/>
        <v>0</v>
      </c>
    </row>
    <row r="73" spans="1:132" ht="34.5" customHeight="1" x14ac:dyDescent="0.25">
      <c r="A73" s="97"/>
      <c r="B73" s="84"/>
      <c r="C73" s="59" t="s">
        <v>226</v>
      </c>
      <c r="D73" s="99" t="s">
        <v>227</v>
      </c>
      <c r="E73" s="42">
        <v>520</v>
      </c>
      <c r="F73" s="43" t="s">
        <v>102</v>
      </c>
      <c r="G73" s="44">
        <f t="shared" si="37"/>
        <v>15660000</v>
      </c>
      <c r="H73" s="45">
        <v>10000000</v>
      </c>
      <c r="I73" s="45">
        <f t="shared" si="47"/>
        <v>-5660000</v>
      </c>
      <c r="J73" s="78"/>
      <c r="K73" s="44">
        <f>5000000+10000000-15000000+5660000</f>
        <v>5660000</v>
      </c>
      <c r="L73" s="80"/>
      <c r="M73" s="80"/>
      <c r="N73" s="80"/>
      <c r="O73" s="80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80"/>
      <c r="AA73" s="44">
        <f t="shared" si="52"/>
        <v>10000000</v>
      </c>
      <c r="AB73" s="44"/>
      <c r="AC73" s="44"/>
      <c r="AD73" s="44"/>
      <c r="AE73" s="44"/>
      <c r="AF73" s="44"/>
      <c r="AG73" s="46">
        <f t="shared" si="53"/>
        <v>1</v>
      </c>
      <c r="AH73" s="44">
        <f t="shared" si="38"/>
        <v>15660000</v>
      </c>
      <c r="AI73" s="44"/>
      <c r="AJ73" s="44">
        <f>+'[5]Acuerdo PLAN INVERSIÓN 2021'!$J$5657</f>
        <v>5660000</v>
      </c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>
        <f>+'[5]Acuerdo PLAN INVERSIÓN 2021'!$X$5657</f>
        <v>10000000</v>
      </c>
      <c r="BA73" s="44"/>
      <c r="BB73" s="44"/>
      <c r="BC73" s="44"/>
      <c r="BD73" s="44"/>
      <c r="BE73" s="44"/>
      <c r="BF73" s="46">
        <f t="shared" si="55"/>
        <v>0</v>
      </c>
      <c r="BG73" s="44">
        <f t="shared" si="39"/>
        <v>0</v>
      </c>
      <c r="BH73" s="44">
        <f t="shared" si="50"/>
        <v>0</v>
      </c>
      <c r="BI73" s="44">
        <f t="shared" si="50"/>
        <v>0</v>
      </c>
      <c r="BJ73" s="44">
        <f t="shared" si="50"/>
        <v>0</v>
      </c>
      <c r="BK73" s="44">
        <f t="shared" si="50"/>
        <v>0</v>
      </c>
      <c r="BL73" s="44">
        <f t="shared" si="50"/>
        <v>0</v>
      </c>
      <c r="BM73" s="44">
        <f t="shared" si="50"/>
        <v>0</v>
      </c>
      <c r="BN73" s="44">
        <f t="shared" si="50"/>
        <v>0</v>
      </c>
      <c r="BO73" s="44">
        <f t="shared" si="50"/>
        <v>0</v>
      </c>
      <c r="BP73" s="44">
        <f t="shared" si="50"/>
        <v>0</v>
      </c>
      <c r="BQ73" s="44">
        <f t="shared" si="50"/>
        <v>0</v>
      </c>
      <c r="BR73" s="44">
        <f t="shared" si="50"/>
        <v>0</v>
      </c>
      <c r="BS73" s="44">
        <f t="shared" si="50"/>
        <v>0</v>
      </c>
      <c r="BT73" s="44">
        <f t="shared" si="50"/>
        <v>0</v>
      </c>
      <c r="BU73" s="44">
        <f t="shared" si="50"/>
        <v>0</v>
      </c>
      <c r="BV73" s="44">
        <f t="shared" si="50"/>
        <v>0</v>
      </c>
      <c r="BW73" s="44">
        <f t="shared" si="48"/>
        <v>0</v>
      </c>
      <c r="BX73" s="44">
        <f t="shared" si="41"/>
        <v>0</v>
      </c>
      <c r="BY73" s="44">
        <f t="shared" si="41"/>
        <v>0</v>
      </c>
      <c r="BZ73" s="44">
        <f t="shared" si="41"/>
        <v>0</v>
      </c>
      <c r="CA73" s="44">
        <f t="shared" si="41"/>
        <v>0</v>
      </c>
      <c r="CB73" s="44">
        <f t="shared" si="41"/>
        <v>0</v>
      </c>
      <c r="CC73" s="44">
        <f t="shared" si="41"/>
        <v>0</v>
      </c>
      <c r="CD73" s="44">
        <f t="shared" si="41"/>
        <v>0</v>
      </c>
      <c r="CE73" s="46">
        <f t="shared" si="42"/>
        <v>0</v>
      </c>
      <c r="CF73" s="44">
        <f t="shared" si="43"/>
        <v>0</v>
      </c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6">
        <f t="shared" si="54"/>
        <v>1</v>
      </c>
      <c r="DE73" s="44">
        <f t="shared" si="44"/>
        <v>15660000</v>
      </c>
      <c r="DF73" s="44">
        <f t="shared" si="51"/>
        <v>0</v>
      </c>
      <c r="DG73" s="44">
        <f t="shared" si="51"/>
        <v>5660000</v>
      </c>
      <c r="DH73" s="44">
        <f t="shared" si="51"/>
        <v>0</v>
      </c>
      <c r="DI73" s="44">
        <f t="shared" si="51"/>
        <v>0</v>
      </c>
      <c r="DJ73" s="44">
        <f t="shared" si="51"/>
        <v>0</v>
      </c>
      <c r="DK73" s="44">
        <f t="shared" si="51"/>
        <v>0</v>
      </c>
      <c r="DL73" s="44">
        <f t="shared" si="51"/>
        <v>0</v>
      </c>
      <c r="DM73" s="44">
        <f t="shared" si="51"/>
        <v>0</v>
      </c>
      <c r="DN73" s="44">
        <f t="shared" si="51"/>
        <v>0</v>
      </c>
      <c r="DO73" s="44">
        <f t="shared" si="51"/>
        <v>0</v>
      </c>
      <c r="DP73" s="44">
        <f t="shared" si="51"/>
        <v>0</v>
      </c>
      <c r="DQ73" s="44">
        <f t="shared" si="51"/>
        <v>0</v>
      </c>
      <c r="DR73" s="44">
        <f t="shared" si="51"/>
        <v>0</v>
      </c>
      <c r="DS73" s="44">
        <f t="shared" si="51"/>
        <v>0</v>
      </c>
      <c r="DT73" s="44">
        <f t="shared" si="51"/>
        <v>0</v>
      </c>
      <c r="DU73" s="44">
        <f t="shared" si="49"/>
        <v>0</v>
      </c>
      <c r="DV73" s="44">
        <f t="shared" si="46"/>
        <v>0</v>
      </c>
      <c r="DW73" s="44">
        <f t="shared" si="46"/>
        <v>10000000</v>
      </c>
      <c r="DX73" s="44">
        <f t="shared" si="46"/>
        <v>0</v>
      </c>
      <c r="DY73" s="44">
        <f t="shared" si="46"/>
        <v>0</v>
      </c>
      <c r="DZ73" s="44">
        <f t="shared" si="46"/>
        <v>0</v>
      </c>
      <c r="EA73" s="44">
        <f t="shared" si="46"/>
        <v>0</v>
      </c>
      <c r="EB73" s="44">
        <f t="shared" si="46"/>
        <v>0</v>
      </c>
    </row>
    <row r="74" spans="1:132" ht="33" customHeight="1" x14ac:dyDescent="0.25">
      <c r="A74" s="97"/>
      <c r="B74" s="84"/>
      <c r="C74" s="59" t="s">
        <v>228</v>
      </c>
      <c r="D74" s="99" t="s">
        <v>229</v>
      </c>
      <c r="E74" s="42">
        <v>520</v>
      </c>
      <c r="F74" s="43" t="s">
        <v>102</v>
      </c>
      <c r="G74" s="44">
        <f t="shared" si="37"/>
        <v>10000000</v>
      </c>
      <c r="H74" s="45">
        <v>8000000</v>
      </c>
      <c r="I74" s="45">
        <f t="shared" si="47"/>
        <v>-2000000</v>
      </c>
      <c r="J74" s="78"/>
      <c r="K74" s="44"/>
      <c r="L74" s="80"/>
      <c r="M74" s="80"/>
      <c r="N74" s="80"/>
      <c r="O74" s="80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80"/>
      <c r="AA74" s="44">
        <f t="shared" si="52"/>
        <v>10000000</v>
      </c>
      <c r="AB74" s="44"/>
      <c r="AC74" s="44"/>
      <c r="AD74" s="44"/>
      <c r="AE74" s="44"/>
      <c r="AF74" s="44"/>
      <c r="AG74" s="46">
        <f t="shared" si="53"/>
        <v>0</v>
      </c>
      <c r="AH74" s="44">
        <f t="shared" si="38"/>
        <v>0</v>
      </c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6">
        <f t="shared" si="55"/>
        <v>1</v>
      </c>
      <c r="BG74" s="44">
        <f t="shared" si="39"/>
        <v>10000000</v>
      </c>
      <c r="BH74" s="44">
        <f t="shared" si="50"/>
        <v>0</v>
      </c>
      <c r="BI74" s="44">
        <f t="shared" si="50"/>
        <v>0</v>
      </c>
      <c r="BJ74" s="44">
        <f t="shared" si="50"/>
        <v>0</v>
      </c>
      <c r="BK74" s="44">
        <f t="shared" si="50"/>
        <v>0</v>
      </c>
      <c r="BL74" s="44">
        <f t="shared" si="50"/>
        <v>0</v>
      </c>
      <c r="BM74" s="44">
        <f t="shared" si="50"/>
        <v>0</v>
      </c>
      <c r="BN74" s="44">
        <f t="shared" si="50"/>
        <v>0</v>
      </c>
      <c r="BO74" s="44">
        <f t="shared" si="50"/>
        <v>0</v>
      </c>
      <c r="BP74" s="44">
        <f t="shared" si="50"/>
        <v>0</v>
      </c>
      <c r="BQ74" s="44">
        <f t="shared" si="50"/>
        <v>0</v>
      </c>
      <c r="BR74" s="44">
        <f t="shared" si="50"/>
        <v>0</v>
      </c>
      <c r="BS74" s="44">
        <f t="shared" si="50"/>
        <v>0</v>
      </c>
      <c r="BT74" s="44">
        <f t="shared" si="50"/>
        <v>0</v>
      </c>
      <c r="BU74" s="44">
        <f t="shared" si="50"/>
        <v>0</v>
      </c>
      <c r="BV74" s="44">
        <f t="shared" si="50"/>
        <v>0</v>
      </c>
      <c r="BW74" s="44">
        <f t="shared" si="48"/>
        <v>0</v>
      </c>
      <c r="BX74" s="44">
        <f t="shared" si="41"/>
        <v>0</v>
      </c>
      <c r="BY74" s="44">
        <f t="shared" si="41"/>
        <v>10000000</v>
      </c>
      <c r="BZ74" s="44">
        <f t="shared" si="41"/>
        <v>0</v>
      </c>
      <c r="CA74" s="44">
        <f t="shared" si="41"/>
        <v>0</v>
      </c>
      <c r="CB74" s="44">
        <f t="shared" si="41"/>
        <v>0</v>
      </c>
      <c r="CC74" s="44">
        <f t="shared" si="41"/>
        <v>0</v>
      </c>
      <c r="CD74" s="44">
        <f t="shared" si="41"/>
        <v>0</v>
      </c>
      <c r="CE74" s="46">
        <f t="shared" si="42"/>
        <v>0</v>
      </c>
      <c r="CF74" s="44">
        <f t="shared" si="43"/>
        <v>0</v>
      </c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6">
        <f t="shared" si="54"/>
        <v>1</v>
      </c>
      <c r="DE74" s="44">
        <f t="shared" si="44"/>
        <v>10000000</v>
      </c>
      <c r="DF74" s="44">
        <f t="shared" si="51"/>
        <v>0</v>
      </c>
      <c r="DG74" s="44">
        <f t="shared" si="51"/>
        <v>0</v>
      </c>
      <c r="DH74" s="44">
        <f t="shared" si="51"/>
        <v>0</v>
      </c>
      <c r="DI74" s="44">
        <f t="shared" si="51"/>
        <v>0</v>
      </c>
      <c r="DJ74" s="44">
        <f t="shared" si="51"/>
        <v>0</v>
      </c>
      <c r="DK74" s="44">
        <f t="shared" si="51"/>
        <v>0</v>
      </c>
      <c r="DL74" s="44">
        <f t="shared" si="51"/>
        <v>0</v>
      </c>
      <c r="DM74" s="44">
        <f t="shared" si="51"/>
        <v>0</v>
      </c>
      <c r="DN74" s="44">
        <f t="shared" si="51"/>
        <v>0</v>
      </c>
      <c r="DO74" s="44">
        <f t="shared" si="51"/>
        <v>0</v>
      </c>
      <c r="DP74" s="44">
        <f t="shared" si="51"/>
        <v>0</v>
      </c>
      <c r="DQ74" s="44">
        <f t="shared" si="51"/>
        <v>0</v>
      </c>
      <c r="DR74" s="44">
        <f t="shared" si="51"/>
        <v>0</v>
      </c>
      <c r="DS74" s="44">
        <f t="shared" si="51"/>
        <v>0</v>
      </c>
      <c r="DT74" s="44">
        <f t="shared" si="51"/>
        <v>0</v>
      </c>
      <c r="DU74" s="44">
        <f t="shared" si="49"/>
        <v>0</v>
      </c>
      <c r="DV74" s="44">
        <f t="shared" si="46"/>
        <v>0</v>
      </c>
      <c r="DW74" s="44">
        <f t="shared" si="46"/>
        <v>10000000</v>
      </c>
      <c r="DX74" s="44">
        <f t="shared" si="46"/>
        <v>0</v>
      </c>
      <c r="DY74" s="44">
        <f t="shared" si="46"/>
        <v>0</v>
      </c>
      <c r="DZ74" s="44">
        <f t="shared" si="46"/>
        <v>0</v>
      </c>
      <c r="EA74" s="44">
        <f t="shared" si="46"/>
        <v>0</v>
      </c>
      <c r="EB74" s="44">
        <f t="shared" si="46"/>
        <v>0</v>
      </c>
    </row>
    <row r="75" spans="1:132" ht="36" customHeight="1" x14ac:dyDescent="0.25">
      <c r="A75" s="97"/>
      <c r="B75" s="81"/>
      <c r="C75" s="59" t="s">
        <v>230</v>
      </c>
      <c r="D75" s="99" t="s">
        <v>231</v>
      </c>
      <c r="E75" s="42">
        <v>520</v>
      </c>
      <c r="F75" s="43" t="s">
        <v>102</v>
      </c>
      <c r="G75" s="44">
        <f t="shared" si="37"/>
        <v>39340000</v>
      </c>
      <c r="H75" s="45">
        <v>25000000</v>
      </c>
      <c r="I75" s="45">
        <f t="shared" si="47"/>
        <v>-14340000</v>
      </c>
      <c r="J75" s="78"/>
      <c r="K75" s="44">
        <f>30000000+5000000-5660000</f>
        <v>29340000</v>
      </c>
      <c r="L75" s="80"/>
      <c r="M75" s="80"/>
      <c r="N75" s="80"/>
      <c r="O75" s="80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80"/>
      <c r="AA75" s="44">
        <f t="shared" si="52"/>
        <v>10000000</v>
      </c>
      <c r="AB75" s="44"/>
      <c r="AC75" s="44"/>
      <c r="AD75" s="44"/>
      <c r="AE75" s="44"/>
      <c r="AF75" s="44"/>
      <c r="AG75" s="46">
        <f t="shared" si="53"/>
        <v>0.74580579562785965</v>
      </c>
      <c r="AH75" s="44">
        <f t="shared" si="38"/>
        <v>29340000</v>
      </c>
      <c r="AI75" s="44"/>
      <c r="AJ75" s="44">
        <f>+'[8]Acuerdo PLAN INVERSIÓN 2021'!$J$1009</f>
        <v>29340000</v>
      </c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6">
        <f t="shared" si="55"/>
        <v>0.25419420437214035</v>
      </c>
      <c r="BG75" s="44">
        <f t="shared" si="39"/>
        <v>10000000</v>
      </c>
      <c r="BH75" s="44">
        <f t="shared" si="50"/>
        <v>0</v>
      </c>
      <c r="BI75" s="44">
        <f t="shared" si="50"/>
        <v>0</v>
      </c>
      <c r="BJ75" s="44">
        <f t="shared" si="50"/>
        <v>0</v>
      </c>
      <c r="BK75" s="44">
        <f t="shared" si="50"/>
        <v>0</v>
      </c>
      <c r="BL75" s="44">
        <f t="shared" si="50"/>
        <v>0</v>
      </c>
      <c r="BM75" s="44">
        <f t="shared" si="50"/>
        <v>0</v>
      </c>
      <c r="BN75" s="44">
        <f t="shared" si="50"/>
        <v>0</v>
      </c>
      <c r="BO75" s="44">
        <f t="shared" si="50"/>
        <v>0</v>
      </c>
      <c r="BP75" s="44">
        <f t="shared" si="50"/>
        <v>0</v>
      </c>
      <c r="BQ75" s="44">
        <f t="shared" si="50"/>
        <v>0</v>
      </c>
      <c r="BR75" s="44">
        <f t="shared" si="50"/>
        <v>0</v>
      </c>
      <c r="BS75" s="44">
        <f t="shared" si="50"/>
        <v>0</v>
      </c>
      <c r="BT75" s="44">
        <f t="shared" si="50"/>
        <v>0</v>
      </c>
      <c r="BU75" s="44">
        <f t="shared" si="50"/>
        <v>0</v>
      </c>
      <c r="BV75" s="44">
        <f t="shared" si="50"/>
        <v>0</v>
      </c>
      <c r="BW75" s="44">
        <f t="shared" si="48"/>
        <v>0</v>
      </c>
      <c r="BX75" s="44">
        <f t="shared" si="41"/>
        <v>0</v>
      </c>
      <c r="BY75" s="44">
        <f t="shared" si="41"/>
        <v>10000000</v>
      </c>
      <c r="BZ75" s="44">
        <f t="shared" si="41"/>
        <v>0</v>
      </c>
      <c r="CA75" s="44">
        <f t="shared" si="41"/>
        <v>0</v>
      </c>
      <c r="CB75" s="44">
        <f t="shared" si="41"/>
        <v>0</v>
      </c>
      <c r="CC75" s="44">
        <f t="shared" si="41"/>
        <v>0</v>
      </c>
      <c r="CD75" s="44">
        <f t="shared" si="41"/>
        <v>0</v>
      </c>
      <c r="CE75" s="46">
        <f t="shared" si="42"/>
        <v>0.74580564311133701</v>
      </c>
      <c r="CF75" s="44">
        <f t="shared" si="43"/>
        <v>29339994</v>
      </c>
      <c r="CG75" s="44"/>
      <c r="CH75" s="44">
        <f>+'[8]Acuerdo PLAN INVERSIÓN 2021'!$H$1007</f>
        <v>29339994</v>
      </c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6">
        <f t="shared" si="54"/>
        <v>0.25419435688866299</v>
      </c>
      <c r="DE75" s="44">
        <f t="shared" si="44"/>
        <v>10000006</v>
      </c>
      <c r="DF75" s="44">
        <f t="shared" si="51"/>
        <v>0</v>
      </c>
      <c r="DG75" s="44">
        <f t="shared" si="51"/>
        <v>6</v>
      </c>
      <c r="DH75" s="44">
        <f t="shared" si="51"/>
        <v>0</v>
      </c>
      <c r="DI75" s="44">
        <f t="shared" si="51"/>
        <v>0</v>
      </c>
      <c r="DJ75" s="44">
        <f t="shared" si="51"/>
        <v>0</v>
      </c>
      <c r="DK75" s="44">
        <f t="shared" si="51"/>
        <v>0</v>
      </c>
      <c r="DL75" s="44">
        <f t="shared" si="51"/>
        <v>0</v>
      </c>
      <c r="DM75" s="44">
        <f t="shared" si="51"/>
        <v>0</v>
      </c>
      <c r="DN75" s="44">
        <f t="shared" si="51"/>
        <v>0</v>
      </c>
      <c r="DO75" s="44">
        <f t="shared" si="51"/>
        <v>0</v>
      </c>
      <c r="DP75" s="44">
        <f t="shared" si="51"/>
        <v>0</v>
      </c>
      <c r="DQ75" s="44">
        <f t="shared" si="51"/>
        <v>0</v>
      </c>
      <c r="DR75" s="44">
        <f t="shared" si="51"/>
        <v>0</v>
      </c>
      <c r="DS75" s="44">
        <f t="shared" si="51"/>
        <v>0</v>
      </c>
      <c r="DT75" s="44">
        <f t="shared" si="51"/>
        <v>0</v>
      </c>
      <c r="DU75" s="44">
        <f t="shared" si="49"/>
        <v>0</v>
      </c>
      <c r="DV75" s="44">
        <f t="shared" si="46"/>
        <v>0</v>
      </c>
      <c r="DW75" s="44">
        <f t="shared" si="46"/>
        <v>10000000</v>
      </c>
      <c r="DX75" s="44">
        <f t="shared" si="46"/>
        <v>0</v>
      </c>
      <c r="DY75" s="44">
        <f t="shared" si="46"/>
        <v>0</v>
      </c>
      <c r="DZ75" s="44">
        <f t="shared" si="46"/>
        <v>0</v>
      </c>
      <c r="EA75" s="44">
        <f t="shared" si="46"/>
        <v>0</v>
      </c>
      <c r="EB75" s="44">
        <f t="shared" si="46"/>
        <v>0</v>
      </c>
    </row>
    <row r="76" spans="1:132" ht="24.75" customHeight="1" x14ac:dyDescent="0.25">
      <c r="A76" s="97"/>
      <c r="B76" s="100" t="s">
        <v>232</v>
      </c>
      <c r="C76" s="59" t="s">
        <v>233</v>
      </c>
      <c r="D76" s="100" t="s">
        <v>234</v>
      </c>
      <c r="E76" s="42">
        <v>520</v>
      </c>
      <c r="F76" s="43" t="s">
        <v>102</v>
      </c>
      <c r="G76" s="44">
        <f t="shared" si="37"/>
        <v>0</v>
      </c>
      <c r="H76" s="45">
        <v>173643500</v>
      </c>
      <c r="I76" s="45">
        <f t="shared" si="47"/>
        <v>173643500</v>
      </c>
      <c r="J76" s="78"/>
      <c r="K76" s="44">
        <f>1000000-1000000</f>
        <v>0</v>
      </c>
      <c r="L76" s="80"/>
      <c r="M76" s="80"/>
      <c r="N76" s="101"/>
      <c r="O76" s="80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80"/>
      <c r="AA76" s="44"/>
      <c r="AB76" s="44"/>
      <c r="AC76" s="78"/>
      <c r="AD76" s="78"/>
      <c r="AE76" s="78"/>
      <c r="AF76" s="44"/>
      <c r="AG76" s="46" t="e">
        <f t="shared" si="53"/>
        <v>#DIV/0!</v>
      </c>
      <c r="AH76" s="44">
        <f t="shared" si="38"/>
        <v>0</v>
      </c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6" t="e">
        <f t="shared" si="55"/>
        <v>#DIV/0!</v>
      </c>
      <c r="BG76" s="44">
        <f t="shared" si="39"/>
        <v>0</v>
      </c>
      <c r="BH76" s="44">
        <f t="shared" si="50"/>
        <v>0</v>
      </c>
      <c r="BI76" s="44">
        <f t="shared" si="50"/>
        <v>0</v>
      </c>
      <c r="BJ76" s="44">
        <f t="shared" si="50"/>
        <v>0</v>
      </c>
      <c r="BK76" s="44">
        <f t="shared" si="50"/>
        <v>0</v>
      </c>
      <c r="BL76" s="44">
        <f t="shared" si="50"/>
        <v>0</v>
      </c>
      <c r="BM76" s="44">
        <f t="shared" si="50"/>
        <v>0</v>
      </c>
      <c r="BN76" s="44">
        <f t="shared" si="50"/>
        <v>0</v>
      </c>
      <c r="BO76" s="44">
        <f t="shared" si="50"/>
        <v>0</v>
      </c>
      <c r="BP76" s="44">
        <f t="shared" si="50"/>
        <v>0</v>
      </c>
      <c r="BQ76" s="44">
        <f t="shared" si="50"/>
        <v>0</v>
      </c>
      <c r="BR76" s="44">
        <f t="shared" si="50"/>
        <v>0</v>
      </c>
      <c r="BS76" s="44">
        <f t="shared" si="50"/>
        <v>0</v>
      </c>
      <c r="BT76" s="44">
        <f t="shared" si="50"/>
        <v>0</v>
      </c>
      <c r="BU76" s="44">
        <f t="shared" si="50"/>
        <v>0</v>
      </c>
      <c r="BV76" s="44">
        <f t="shared" si="50"/>
        <v>0</v>
      </c>
      <c r="BW76" s="44">
        <f t="shared" si="48"/>
        <v>0</v>
      </c>
      <c r="BX76" s="44">
        <f t="shared" si="41"/>
        <v>0</v>
      </c>
      <c r="BY76" s="44">
        <f t="shared" si="41"/>
        <v>0</v>
      </c>
      <c r="BZ76" s="44">
        <f t="shared" si="41"/>
        <v>0</v>
      </c>
      <c r="CA76" s="44">
        <f t="shared" si="41"/>
        <v>0</v>
      </c>
      <c r="CB76" s="44">
        <f t="shared" si="41"/>
        <v>0</v>
      </c>
      <c r="CC76" s="44">
        <f t="shared" si="41"/>
        <v>0</v>
      </c>
      <c r="CD76" s="44">
        <f t="shared" si="41"/>
        <v>0</v>
      </c>
      <c r="CE76" s="46" t="e">
        <f t="shared" si="42"/>
        <v>#DIV/0!</v>
      </c>
      <c r="CF76" s="44">
        <f t="shared" si="43"/>
        <v>0</v>
      </c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6" t="e">
        <f t="shared" si="54"/>
        <v>#DIV/0!</v>
      </c>
      <c r="DE76" s="44">
        <f t="shared" si="44"/>
        <v>0</v>
      </c>
      <c r="DF76" s="44">
        <f t="shared" si="51"/>
        <v>0</v>
      </c>
      <c r="DG76" s="44">
        <f t="shared" si="51"/>
        <v>0</v>
      </c>
      <c r="DH76" s="44">
        <f t="shared" si="51"/>
        <v>0</v>
      </c>
      <c r="DI76" s="44">
        <f t="shared" si="51"/>
        <v>0</v>
      </c>
      <c r="DJ76" s="44">
        <f t="shared" si="51"/>
        <v>0</v>
      </c>
      <c r="DK76" s="44">
        <f t="shared" si="51"/>
        <v>0</v>
      </c>
      <c r="DL76" s="44">
        <f t="shared" si="51"/>
        <v>0</v>
      </c>
      <c r="DM76" s="44">
        <f t="shared" si="51"/>
        <v>0</v>
      </c>
      <c r="DN76" s="44">
        <f t="shared" si="51"/>
        <v>0</v>
      </c>
      <c r="DO76" s="44">
        <f t="shared" si="51"/>
        <v>0</v>
      </c>
      <c r="DP76" s="44">
        <f t="shared" si="51"/>
        <v>0</v>
      </c>
      <c r="DQ76" s="44">
        <f t="shared" si="51"/>
        <v>0</v>
      </c>
      <c r="DR76" s="44">
        <f t="shared" si="51"/>
        <v>0</v>
      </c>
      <c r="DS76" s="44">
        <f t="shared" si="51"/>
        <v>0</v>
      </c>
      <c r="DT76" s="44">
        <f t="shared" si="51"/>
        <v>0</v>
      </c>
      <c r="DU76" s="44">
        <f t="shared" si="49"/>
        <v>0</v>
      </c>
      <c r="DV76" s="44">
        <f t="shared" si="46"/>
        <v>0</v>
      </c>
      <c r="DW76" s="44">
        <f t="shared" si="46"/>
        <v>0</v>
      </c>
      <c r="DX76" s="44">
        <f t="shared" si="46"/>
        <v>0</v>
      </c>
      <c r="DY76" s="44">
        <f t="shared" si="46"/>
        <v>0</v>
      </c>
      <c r="DZ76" s="44">
        <f t="shared" si="46"/>
        <v>0</v>
      </c>
      <c r="EA76" s="44">
        <f t="shared" si="46"/>
        <v>0</v>
      </c>
      <c r="EB76" s="44">
        <f t="shared" si="46"/>
        <v>0</v>
      </c>
    </row>
    <row r="77" spans="1:132" s="74" customFormat="1" ht="16.899999999999999" customHeight="1" thickBot="1" x14ac:dyDescent="0.3">
      <c r="A77" s="102"/>
      <c r="B77" s="103" t="s">
        <v>235</v>
      </c>
      <c r="C77" s="104"/>
      <c r="D77" s="104"/>
      <c r="E77" s="104"/>
      <c r="F77" s="105"/>
      <c r="G77" s="92">
        <f t="shared" ref="G77:AF77" si="56">SUM(G51:G76)</f>
        <v>4269690683</v>
      </c>
      <c r="H77" s="106">
        <f t="shared" si="56"/>
        <v>6393503250</v>
      </c>
      <c r="I77" s="106">
        <f t="shared" si="56"/>
        <v>2123812567</v>
      </c>
      <c r="J77" s="92">
        <f t="shared" si="56"/>
        <v>0</v>
      </c>
      <c r="K77" s="92">
        <f t="shared" si="56"/>
        <v>1085174278</v>
      </c>
      <c r="L77" s="92">
        <f t="shared" si="56"/>
        <v>0</v>
      </c>
      <c r="M77" s="92">
        <f t="shared" si="56"/>
        <v>0</v>
      </c>
      <c r="N77" s="92">
        <f t="shared" si="56"/>
        <v>0</v>
      </c>
      <c r="O77" s="92">
        <f t="shared" si="56"/>
        <v>167645552</v>
      </c>
      <c r="P77" s="92">
        <f t="shared" si="56"/>
        <v>0</v>
      </c>
      <c r="Q77" s="92">
        <f t="shared" si="56"/>
        <v>0</v>
      </c>
      <c r="R77" s="92">
        <f t="shared" si="56"/>
        <v>0</v>
      </c>
      <c r="S77" s="92">
        <f t="shared" si="56"/>
        <v>0</v>
      </c>
      <c r="T77" s="92">
        <f t="shared" si="56"/>
        <v>0</v>
      </c>
      <c r="U77" s="92">
        <f t="shared" si="56"/>
        <v>0</v>
      </c>
      <c r="V77" s="92">
        <f t="shared" si="56"/>
        <v>0</v>
      </c>
      <c r="W77" s="92">
        <f t="shared" si="56"/>
        <v>0</v>
      </c>
      <c r="X77" s="92">
        <f t="shared" si="56"/>
        <v>0</v>
      </c>
      <c r="Y77" s="92">
        <f t="shared" si="56"/>
        <v>1374625000</v>
      </c>
      <c r="Z77" s="92">
        <f t="shared" si="56"/>
        <v>0</v>
      </c>
      <c r="AA77" s="92">
        <f t="shared" si="56"/>
        <v>427766866</v>
      </c>
      <c r="AB77" s="92">
        <f t="shared" si="56"/>
        <v>197412271</v>
      </c>
      <c r="AC77" s="92">
        <f t="shared" si="56"/>
        <v>0</v>
      </c>
      <c r="AD77" s="92">
        <f t="shared" si="56"/>
        <v>0</v>
      </c>
      <c r="AE77" s="92">
        <f t="shared" si="56"/>
        <v>0</v>
      </c>
      <c r="AF77" s="92">
        <f t="shared" si="56"/>
        <v>1017066716</v>
      </c>
      <c r="AG77" s="73">
        <f t="shared" si="53"/>
        <v>0.92693796128088279</v>
      </c>
      <c r="AH77" s="92">
        <f>SUM(AH51:AH76)</f>
        <v>3957738377</v>
      </c>
      <c r="AI77" s="92">
        <f>SUM(AI51:AI76)</f>
        <v>0</v>
      </c>
      <c r="AJ77" s="92">
        <f>SUM(AJ51:AJ76)</f>
        <v>999215575</v>
      </c>
      <c r="AK77" s="92">
        <f>SUM(AK51:AK76)</f>
        <v>0</v>
      </c>
      <c r="AL77" s="92"/>
      <c r="AM77" s="92">
        <f t="shared" ref="AM77:BE77" si="57">SUM(AM51:AM76)</f>
        <v>0</v>
      </c>
      <c r="AN77" s="92">
        <f t="shared" si="57"/>
        <v>155819660</v>
      </c>
      <c r="AO77" s="92">
        <f t="shared" si="57"/>
        <v>0</v>
      </c>
      <c r="AP77" s="92">
        <f t="shared" si="57"/>
        <v>0</v>
      </c>
      <c r="AQ77" s="92">
        <f t="shared" si="57"/>
        <v>0</v>
      </c>
      <c r="AR77" s="92">
        <f t="shared" si="57"/>
        <v>0</v>
      </c>
      <c r="AS77" s="92">
        <f t="shared" si="57"/>
        <v>0</v>
      </c>
      <c r="AT77" s="92">
        <f t="shared" si="57"/>
        <v>0</v>
      </c>
      <c r="AU77" s="92">
        <f t="shared" si="57"/>
        <v>0</v>
      </c>
      <c r="AV77" s="92">
        <f t="shared" si="57"/>
        <v>0</v>
      </c>
      <c r="AW77" s="92">
        <f t="shared" si="57"/>
        <v>0</v>
      </c>
      <c r="AX77" s="92">
        <f t="shared" si="57"/>
        <v>1367983008</v>
      </c>
      <c r="AY77" s="92">
        <f t="shared" si="57"/>
        <v>0</v>
      </c>
      <c r="AZ77" s="92">
        <f t="shared" si="57"/>
        <v>338055304</v>
      </c>
      <c r="BA77" s="92">
        <f t="shared" si="57"/>
        <v>197412270</v>
      </c>
      <c r="BB77" s="92">
        <f t="shared" si="57"/>
        <v>0</v>
      </c>
      <c r="BC77" s="92">
        <f t="shared" si="57"/>
        <v>0</v>
      </c>
      <c r="BD77" s="92">
        <f t="shared" si="57"/>
        <v>0</v>
      </c>
      <c r="BE77" s="92">
        <f t="shared" si="57"/>
        <v>899252560</v>
      </c>
      <c r="BF77" s="73">
        <f t="shared" si="55"/>
        <v>7.3062038719117206E-2</v>
      </c>
      <c r="BG77" s="92">
        <f t="shared" ref="BG77:CD77" si="58">SUM(BG51:BG76)</f>
        <v>311952306</v>
      </c>
      <c r="BH77" s="92">
        <f t="shared" si="58"/>
        <v>0</v>
      </c>
      <c r="BI77" s="92">
        <f t="shared" si="58"/>
        <v>85958703</v>
      </c>
      <c r="BJ77" s="92">
        <f t="shared" si="58"/>
        <v>0</v>
      </c>
      <c r="BK77" s="92">
        <f t="shared" si="58"/>
        <v>0</v>
      </c>
      <c r="BL77" s="92">
        <f t="shared" si="58"/>
        <v>0</v>
      </c>
      <c r="BM77" s="92">
        <f t="shared" si="58"/>
        <v>11825892</v>
      </c>
      <c r="BN77" s="92">
        <f t="shared" si="58"/>
        <v>0</v>
      </c>
      <c r="BO77" s="92">
        <f t="shared" si="58"/>
        <v>0</v>
      </c>
      <c r="BP77" s="92">
        <f t="shared" si="58"/>
        <v>0</v>
      </c>
      <c r="BQ77" s="92">
        <f t="shared" si="58"/>
        <v>0</v>
      </c>
      <c r="BR77" s="92">
        <f t="shared" si="58"/>
        <v>0</v>
      </c>
      <c r="BS77" s="92">
        <f t="shared" si="58"/>
        <v>0</v>
      </c>
      <c r="BT77" s="92">
        <f t="shared" si="58"/>
        <v>0</v>
      </c>
      <c r="BU77" s="92">
        <f t="shared" si="58"/>
        <v>0</v>
      </c>
      <c r="BV77" s="92">
        <f t="shared" si="58"/>
        <v>0</v>
      </c>
      <c r="BW77" s="92">
        <f t="shared" si="58"/>
        <v>6641992</v>
      </c>
      <c r="BX77" s="92">
        <f t="shared" si="58"/>
        <v>0</v>
      </c>
      <c r="BY77" s="92">
        <f t="shared" si="58"/>
        <v>89711562</v>
      </c>
      <c r="BZ77" s="92">
        <f t="shared" si="58"/>
        <v>1</v>
      </c>
      <c r="CA77" s="92">
        <f t="shared" si="58"/>
        <v>0</v>
      </c>
      <c r="CB77" s="92">
        <f t="shared" si="58"/>
        <v>0</v>
      </c>
      <c r="CC77" s="92">
        <f t="shared" si="58"/>
        <v>0</v>
      </c>
      <c r="CD77" s="92">
        <f t="shared" si="58"/>
        <v>117814156</v>
      </c>
      <c r="CE77" s="71">
        <f t="shared" si="42"/>
        <v>0.80563346724290097</v>
      </c>
      <c r="CF77" s="92">
        <f>SUM(CF51:CF76)</f>
        <v>3439805709</v>
      </c>
      <c r="CG77" s="92">
        <f>SUM(CG51:CG76)</f>
        <v>0</v>
      </c>
      <c r="CH77" s="92">
        <f>SUM(CH51:CH76)</f>
        <v>923147182</v>
      </c>
      <c r="CI77" s="92">
        <f>SUM(CI51:CI76)</f>
        <v>0</v>
      </c>
      <c r="CJ77" s="92">
        <f>SUM(CJ51:CJ76)</f>
        <v>0</v>
      </c>
      <c r="CK77" s="92">
        <f t="shared" ref="CK77:DC77" si="59">SUM(CK51:CK76)</f>
        <v>0</v>
      </c>
      <c r="CL77" s="92">
        <f t="shared" si="59"/>
        <v>121783331</v>
      </c>
      <c r="CM77" s="92">
        <f t="shared" si="59"/>
        <v>0</v>
      </c>
      <c r="CN77" s="92">
        <f t="shared" si="59"/>
        <v>0</v>
      </c>
      <c r="CO77" s="92">
        <f t="shared" si="59"/>
        <v>0</v>
      </c>
      <c r="CP77" s="92">
        <f t="shared" si="59"/>
        <v>0</v>
      </c>
      <c r="CQ77" s="92">
        <f t="shared" si="59"/>
        <v>0</v>
      </c>
      <c r="CR77" s="92">
        <f t="shared" si="59"/>
        <v>0</v>
      </c>
      <c r="CS77" s="92">
        <f t="shared" si="59"/>
        <v>0</v>
      </c>
      <c r="CT77" s="92">
        <f t="shared" si="59"/>
        <v>0</v>
      </c>
      <c r="CU77" s="92">
        <f t="shared" si="59"/>
        <v>0</v>
      </c>
      <c r="CV77" s="92">
        <f t="shared" si="59"/>
        <v>1175342062</v>
      </c>
      <c r="CW77" s="92">
        <f t="shared" si="59"/>
        <v>0</v>
      </c>
      <c r="CX77" s="92">
        <f t="shared" si="59"/>
        <v>217639643</v>
      </c>
      <c r="CY77" s="92">
        <f t="shared" si="59"/>
        <v>172510944</v>
      </c>
      <c r="CZ77" s="92">
        <f t="shared" si="59"/>
        <v>0</v>
      </c>
      <c r="DA77" s="92">
        <f t="shared" si="59"/>
        <v>0</v>
      </c>
      <c r="DB77" s="92">
        <f t="shared" si="59"/>
        <v>0</v>
      </c>
      <c r="DC77" s="92">
        <f t="shared" si="59"/>
        <v>829382547</v>
      </c>
      <c r="DD77" s="73">
        <f t="shared" si="54"/>
        <v>0.19436653275709903</v>
      </c>
      <c r="DE77" s="107">
        <f t="shared" si="44"/>
        <v>829884974</v>
      </c>
      <c r="DF77" s="92">
        <f t="shared" ref="DF77:EB77" si="60">SUM(DF51:DF76)</f>
        <v>0</v>
      </c>
      <c r="DG77" s="92">
        <f t="shared" si="60"/>
        <v>162027096</v>
      </c>
      <c r="DH77" s="92">
        <f t="shared" si="60"/>
        <v>0</v>
      </c>
      <c r="DI77" s="92">
        <f t="shared" si="60"/>
        <v>0</v>
      </c>
      <c r="DJ77" s="92">
        <f t="shared" si="60"/>
        <v>0</v>
      </c>
      <c r="DK77" s="92">
        <f t="shared" si="60"/>
        <v>45862221</v>
      </c>
      <c r="DL77" s="92">
        <f t="shared" si="60"/>
        <v>0</v>
      </c>
      <c r="DM77" s="92">
        <f t="shared" si="60"/>
        <v>0</v>
      </c>
      <c r="DN77" s="92">
        <f t="shared" si="60"/>
        <v>0</v>
      </c>
      <c r="DO77" s="92">
        <f t="shared" si="60"/>
        <v>0</v>
      </c>
      <c r="DP77" s="92">
        <f t="shared" si="60"/>
        <v>0</v>
      </c>
      <c r="DQ77" s="92">
        <f t="shared" si="60"/>
        <v>0</v>
      </c>
      <c r="DR77" s="92">
        <f t="shared" si="60"/>
        <v>0</v>
      </c>
      <c r="DS77" s="92">
        <f t="shared" si="60"/>
        <v>0</v>
      </c>
      <c r="DT77" s="92">
        <f t="shared" si="60"/>
        <v>0</v>
      </c>
      <c r="DU77" s="92">
        <f t="shared" si="60"/>
        <v>199282938</v>
      </c>
      <c r="DV77" s="92">
        <f t="shared" si="60"/>
        <v>0</v>
      </c>
      <c r="DW77" s="92">
        <f t="shared" si="60"/>
        <v>210127223</v>
      </c>
      <c r="DX77" s="92">
        <f t="shared" si="60"/>
        <v>24901327</v>
      </c>
      <c r="DY77" s="92">
        <f t="shared" si="60"/>
        <v>0</v>
      </c>
      <c r="DZ77" s="92">
        <f t="shared" si="60"/>
        <v>0</v>
      </c>
      <c r="EA77" s="92">
        <f t="shared" si="60"/>
        <v>0</v>
      </c>
      <c r="EB77" s="92">
        <f t="shared" si="60"/>
        <v>187684169</v>
      </c>
    </row>
    <row r="78" spans="1:132" s="74" customFormat="1" ht="22.5" customHeight="1" thickTop="1" x14ac:dyDescent="0.25">
      <c r="A78" s="108" t="s">
        <v>236</v>
      </c>
      <c r="B78" s="94" t="s">
        <v>237</v>
      </c>
      <c r="C78" s="83" t="s">
        <v>238</v>
      </c>
      <c r="D78" s="54" t="s">
        <v>239</v>
      </c>
      <c r="E78" s="42">
        <v>301</v>
      </c>
      <c r="F78" s="43" t="s">
        <v>240</v>
      </c>
      <c r="G78" s="44">
        <f t="shared" ref="G78:G96" si="61">SUM(J78:AF78)</f>
        <v>144900000</v>
      </c>
      <c r="H78" s="45">
        <v>120000000</v>
      </c>
      <c r="I78" s="45">
        <f>H78-G78</f>
        <v>-24900000</v>
      </c>
      <c r="J78" s="44">
        <f>9900000</f>
        <v>9900000</v>
      </c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>
        <f>65000000</f>
        <v>65000000</v>
      </c>
      <c r="AB78" s="44"/>
      <c r="AC78" s="44">
        <v>70000000</v>
      </c>
      <c r="AD78" s="44"/>
      <c r="AE78" s="44"/>
      <c r="AF78" s="44"/>
      <c r="AG78" s="79">
        <f t="shared" si="53"/>
        <v>0.44258109040717736</v>
      </c>
      <c r="AH78" s="44">
        <f t="shared" si="38"/>
        <v>64130000</v>
      </c>
      <c r="AI78" s="44">
        <f>+'[1]Acuerdo PLAN INVERSIÓN 2021'!$L$4057</f>
        <v>9900000</v>
      </c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>
        <f>+'[6]Acuerdo PLAN INVERSIÓN 2021'!$AB$4868</f>
        <v>54230000</v>
      </c>
      <c r="BC78" s="44"/>
      <c r="BD78" s="44"/>
      <c r="BE78" s="44"/>
      <c r="BF78" s="46">
        <f t="shared" si="55"/>
        <v>0.55741890959282259</v>
      </c>
      <c r="BG78" s="44">
        <f t="shared" ref="BG78:BG128" si="62">SUM(BH78:CD78)</f>
        <v>80770000</v>
      </c>
      <c r="BH78" s="44">
        <f t="shared" ref="BH78:BW93" si="63">+J78-AI78</f>
        <v>0</v>
      </c>
      <c r="BI78" s="44">
        <f t="shared" si="63"/>
        <v>0</v>
      </c>
      <c r="BJ78" s="44">
        <f t="shared" si="63"/>
        <v>0</v>
      </c>
      <c r="BK78" s="44">
        <f t="shared" si="63"/>
        <v>0</v>
      </c>
      <c r="BL78" s="44">
        <f t="shared" si="63"/>
        <v>0</v>
      </c>
      <c r="BM78" s="44">
        <f t="shared" si="63"/>
        <v>0</v>
      </c>
      <c r="BN78" s="44">
        <f t="shared" si="63"/>
        <v>0</v>
      </c>
      <c r="BO78" s="44">
        <f t="shared" si="63"/>
        <v>0</v>
      </c>
      <c r="BP78" s="44">
        <f t="shared" si="63"/>
        <v>0</v>
      </c>
      <c r="BQ78" s="44">
        <f t="shared" si="63"/>
        <v>0</v>
      </c>
      <c r="BR78" s="44">
        <f t="shared" si="63"/>
        <v>0</v>
      </c>
      <c r="BS78" s="44">
        <f t="shared" si="63"/>
        <v>0</v>
      </c>
      <c r="BT78" s="44">
        <f t="shared" si="63"/>
        <v>0</v>
      </c>
      <c r="BU78" s="44">
        <f t="shared" si="63"/>
        <v>0</v>
      </c>
      <c r="BV78" s="44">
        <f t="shared" si="63"/>
        <v>0</v>
      </c>
      <c r="BW78" s="44">
        <f t="shared" si="63"/>
        <v>0</v>
      </c>
      <c r="BX78" s="44">
        <f t="shared" ref="BX78:CD96" si="64">+Z78-AY78</f>
        <v>0</v>
      </c>
      <c r="BY78" s="44">
        <f t="shared" si="64"/>
        <v>65000000</v>
      </c>
      <c r="BZ78" s="44">
        <f t="shared" si="64"/>
        <v>0</v>
      </c>
      <c r="CA78" s="44">
        <f t="shared" si="64"/>
        <v>15770000</v>
      </c>
      <c r="CB78" s="44">
        <f t="shared" si="64"/>
        <v>0</v>
      </c>
      <c r="CC78" s="44">
        <f t="shared" si="64"/>
        <v>0</v>
      </c>
      <c r="CD78" s="44">
        <f t="shared" si="64"/>
        <v>0</v>
      </c>
      <c r="CE78" s="79">
        <f t="shared" si="42"/>
        <v>0.31874855762594895</v>
      </c>
      <c r="CF78" s="44">
        <f>SUM(CG78:DC78)</f>
        <v>46186666</v>
      </c>
      <c r="CG78" s="44">
        <f>+'[1]Acuerdo PLAN INVERSIÓN 2021'!$H$4070</f>
        <v>9630000</v>
      </c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>
        <f>+'[10]Acuerdo PLAN INVERSIÓN 2021'!$H$767+'[3]Acuerdo PLAN INVERSIÓN 2021'!$H$2882+'[3]Acuerdo PLAN INVERSIÓN 2021'!$H$2884+'[5]Acuerdo PLAN INVERSIÓN 2021'!$H$5714</f>
        <v>36556666</v>
      </c>
      <c r="DA78" s="44"/>
      <c r="DB78" s="44"/>
      <c r="DC78" s="44"/>
      <c r="DD78" s="46">
        <f t="shared" si="54"/>
        <v>0.681251442374051</v>
      </c>
      <c r="DE78" s="44">
        <f t="shared" si="44"/>
        <v>98713334</v>
      </c>
      <c r="DF78" s="44">
        <f t="shared" ref="DF78:DU93" si="65">+J78-CG78</f>
        <v>270000</v>
      </c>
      <c r="DG78" s="44">
        <f t="shared" si="65"/>
        <v>0</v>
      </c>
      <c r="DH78" s="44">
        <f t="shared" si="65"/>
        <v>0</v>
      </c>
      <c r="DI78" s="44">
        <f t="shared" si="65"/>
        <v>0</v>
      </c>
      <c r="DJ78" s="44">
        <f t="shared" si="65"/>
        <v>0</v>
      </c>
      <c r="DK78" s="44">
        <f t="shared" si="65"/>
        <v>0</v>
      </c>
      <c r="DL78" s="44">
        <f t="shared" si="65"/>
        <v>0</v>
      </c>
      <c r="DM78" s="44">
        <f t="shared" si="65"/>
        <v>0</v>
      </c>
      <c r="DN78" s="44">
        <f t="shared" si="65"/>
        <v>0</v>
      </c>
      <c r="DO78" s="44">
        <f t="shared" si="65"/>
        <v>0</v>
      </c>
      <c r="DP78" s="44">
        <f t="shared" si="65"/>
        <v>0</v>
      </c>
      <c r="DQ78" s="44">
        <f t="shared" si="65"/>
        <v>0</v>
      </c>
      <c r="DR78" s="44">
        <f t="shared" si="65"/>
        <v>0</v>
      </c>
      <c r="DS78" s="44">
        <f t="shared" si="65"/>
        <v>0</v>
      </c>
      <c r="DT78" s="44">
        <f t="shared" si="65"/>
        <v>0</v>
      </c>
      <c r="DU78" s="44">
        <f t="shared" si="65"/>
        <v>0</v>
      </c>
      <c r="DV78" s="44">
        <f t="shared" ref="DV78:EB96" si="66">+Z78-CW78</f>
        <v>0</v>
      </c>
      <c r="DW78" s="44">
        <f t="shared" si="66"/>
        <v>65000000</v>
      </c>
      <c r="DX78" s="44">
        <f t="shared" si="66"/>
        <v>0</v>
      </c>
      <c r="DY78" s="44">
        <f t="shared" si="66"/>
        <v>33443334</v>
      </c>
      <c r="DZ78" s="44">
        <f t="shared" si="66"/>
        <v>0</v>
      </c>
      <c r="EA78" s="44">
        <f t="shared" si="66"/>
        <v>0</v>
      </c>
      <c r="EB78" s="44">
        <f t="shared" si="66"/>
        <v>0</v>
      </c>
    </row>
    <row r="79" spans="1:132" s="74" customFormat="1" ht="21" customHeight="1" x14ac:dyDescent="0.25">
      <c r="A79" s="109"/>
      <c r="B79" s="84"/>
      <c r="C79" s="83" t="s">
        <v>241</v>
      </c>
      <c r="D79" s="54" t="s">
        <v>242</v>
      </c>
      <c r="E79" s="42">
        <v>301</v>
      </c>
      <c r="F79" s="43" t="s">
        <v>240</v>
      </c>
      <c r="G79" s="44">
        <f t="shared" si="61"/>
        <v>70000000</v>
      </c>
      <c r="H79" s="45">
        <v>85000000</v>
      </c>
      <c r="I79" s="45">
        <f t="shared" ref="I79:I96" si="67">H79-G79</f>
        <v>15000000</v>
      </c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>
        <f>20000000</f>
        <v>20000000</v>
      </c>
      <c r="AB79" s="44"/>
      <c r="AC79" s="44">
        <v>50000000</v>
      </c>
      <c r="AD79" s="44"/>
      <c r="AE79" s="44"/>
      <c r="AF79" s="44"/>
      <c r="AG79" s="46">
        <f t="shared" si="53"/>
        <v>9.0935714285714286E-2</v>
      </c>
      <c r="AH79" s="44">
        <f t="shared" si="38"/>
        <v>6365500</v>
      </c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>
        <f>+'[5]Acuerdo PLAN INVERSIÓN 2021'!$AB$5721</f>
        <v>6365500</v>
      </c>
      <c r="BC79" s="44"/>
      <c r="BD79" s="44"/>
      <c r="BE79" s="44"/>
      <c r="BF79" s="46">
        <f t="shared" si="55"/>
        <v>0.90906428571428566</v>
      </c>
      <c r="BG79" s="44">
        <f t="shared" si="62"/>
        <v>63634500</v>
      </c>
      <c r="BH79" s="44">
        <f t="shared" si="63"/>
        <v>0</v>
      </c>
      <c r="BI79" s="44">
        <f t="shared" si="63"/>
        <v>0</v>
      </c>
      <c r="BJ79" s="44">
        <f t="shared" si="63"/>
        <v>0</v>
      </c>
      <c r="BK79" s="44">
        <f t="shared" si="63"/>
        <v>0</v>
      </c>
      <c r="BL79" s="44">
        <f t="shared" si="63"/>
        <v>0</v>
      </c>
      <c r="BM79" s="44">
        <f t="shared" si="63"/>
        <v>0</v>
      </c>
      <c r="BN79" s="44">
        <f t="shared" si="63"/>
        <v>0</v>
      </c>
      <c r="BO79" s="44">
        <f t="shared" si="63"/>
        <v>0</v>
      </c>
      <c r="BP79" s="44">
        <f t="shared" si="63"/>
        <v>0</v>
      </c>
      <c r="BQ79" s="44">
        <f t="shared" si="63"/>
        <v>0</v>
      </c>
      <c r="BR79" s="44">
        <f t="shared" si="63"/>
        <v>0</v>
      </c>
      <c r="BS79" s="44">
        <f t="shared" si="63"/>
        <v>0</v>
      </c>
      <c r="BT79" s="44">
        <f t="shared" si="63"/>
        <v>0</v>
      </c>
      <c r="BU79" s="44">
        <f t="shared" si="63"/>
        <v>0</v>
      </c>
      <c r="BV79" s="44">
        <f t="shared" si="63"/>
        <v>0</v>
      </c>
      <c r="BW79" s="44">
        <f t="shared" si="63"/>
        <v>0</v>
      </c>
      <c r="BX79" s="44">
        <f t="shared" si="64"/>
        <v>0</v>
      </c>
      <c r="BY79" s="44">
        <f t="shared" si="64"/>
        <v>20000000</v>
      </c>
      <c r="BZ79" s="44">
        <f t="shared" si="64"/>
        <v>0</v>
      </c>
      <c r="CA79" s="44">
        <f t="shared" si="64"/>
        <v>43634500</v>
      </c>
      <c r="CB79" s="44">
        <f t="shared" si="64"/>
        <v>0</v>
      </c>
      <c r="CC79" s="44">
        <f t="shared" si="64"/>
        <v>0</v>
      </c>
      <c r="CD79" s="44">
        <f t="shared" si="64"/>
        <v>0</v>
      </c>
      <c r="CE79" s="46">
        <f t="shared" si="42"/>
        <v>4.9238085714285715E-2</v>
      </c>
      <c r="CF79" s="44">
        <f t="shared" ref="CF79:CF96" si="68">SUM(CG79:DC79)</f>
        <v>3446666</v>
      </c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>
        <f>+'[5]Acuerdo PLAN INVERSIÓN 2021'!$H$5719</f>
        <v>3446666</v>
      </c>
      <c r="DA79" s="44"/>
      <c r="DB79" s="44"/>
      <c r="DC79" s="44"/>
      <c r="DD79" s="46">
        <f t="shared" si="54"/>
        <v>0.95076191428571433</v>
      </c>
      <c r="DE79" s="44">
        <f t="shared" si="44"/>
        <v>66553334</v>
      </c>
      <c r="DF79" s="44">
        <f t="shared" si="65"/>
        <v>0</v>
      </c>
      <c r="DG79" s="44">
        <f t="shared" si="65"/>
        <v>0</v>
      </c>
      <c r="DH79" s="44">
        <f t="shared" si="65"/>
        <v>0</v>
      </c>
      <c r="DI79" s="44">
        <f t="shared" si="65"/>
        <v>0</v>
      </c>
      <c r="DJ79" s="44">
        <f t="shared" si="65"/>
        <v>0</v>
      </c>
      <c r="DK79" s="44">
        <f t="shared" si="65"/>
        <v>0</v>
      </c>
      <c r="DL79" s="44">
        <f t="shared" si="65"/>
        <v>0</v>
      </c>
      <c r="DM79" s="44">
        <f t="shared" si="65"/>
        <v>0</v>
      </c>
      <c r="DN79" s="44">
        <f t="shared" si="65"/>
        <v>0</v>
      </c>
      <c r="DO79" s="44">
        <f t="shared" si="65"/>
        <v>0</v>
      </c>
      <c r="DP79" s="44">
        <f t="shared" si="65"/>
        <v>0</v>
      </c>
      <c r="DQ79" s="44">
        <f t="shared" si="65"/>
        <v>0</v>
      </c>
      <c r="DR79" s="44">
        <f t="shared" si="65"/>
        <v>0</v>
      </c>
      <c r="DS79" s="44">
        <f t="shared" si="65"/>
        <v>0</v>
      </c>
      <c r="DT79" s="44">
        <f t="shared" si="65"/>
        <v>0</v>
      </c>
      <c r="DU79" s="44">
        <f t="shared" si="65"/>
        <v>0</v>
      </c>
      <c r="DV79" s="44">
        <f t="shared" si="66"/>
        <v>0</v>
      </c>
      <c r="DW79" s="44">
        <f t="shared" si="66"/>
        <v>20000000</v>
      </c>
      <c r="DX79" s="44">
        <f t="shared" si="66"/>
        <v>0</v>
      </c>
      <c r="DY79" s="44">
        <f t="shared" si="66"/>
        <v>46553334</v>
      </c>
      <c r="DZ79" s="44">
        <f t="shared" si="66"/>
        <v>0</v>
      </c>
      <c r="EA79" s="44">
        <f t="shared" si="66"/>
        <v>0</v>
      </c>
      <c r="EB79" s="44">
        <f t="shared" si="66"/>
        <v>0</v>
      </c>
    </row>
    <row r="80" spans="1:132" s="74" customFormat="1" ht="21.75" customHeight="1" x14ac:dyDescent="0.25">
      <c r="A80" s="109"/>
      <c r="B80" s="84"/>
      <c r="C80" s="83" t="s">
        <v>243</v>
      </c>
      <c r="D80" s="54" t="s">
        <v>244</v>
      </c>
      <c r="E80" s="42">
        <v>301</v>
      </c>
      <c r="F80" s="43" t="s">
        <v>240</v>
      </c>
      <c r="G80" s="44">
        <f t="shared" si="61"/>
        <v>79666667</v>
      </c>
      <c r="H80" s="45">
        <v>100000000</v>
      </c>
      <c r="I80" s="45">
        <f t="shared" si="67"/>
        <v>20333333</v>
      </c>
      <c r="J80" s="44">
        <v>19666667</v>
      </c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>
        <v>60000000</v>
      </c>
      <c r="AD80" s="44"/>
      <c r="AE80" s="44"/>
      <c r="AF80" s="44"/>
      <c r="AG80" s="46">
        <f t="shared" si="53"/>
        <v>0.8702928917560967</v>
      </c>
      <c r="AH80" s="44">
        <f t="shared" si="38"/>
        <v>69333334</v>
      </c>
      <c r="AI80" s="44">
        <f>+'[1]Acuerdo PLAN INVERSIÓN 2021'!$L$4080</f>
        <v>19666667</v>
      </c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>
        <f>+'[4]Acuerdo PLAN INVERSIÓN 2021'!$AB$2420</f>
        <v>49666667</v>
      </c>
      <c r="BC80" s="44"/>
      <c r="BD80" s="44"/>
      <c r="BE80" s="44"/>
      <c r="BF80" s="46">
        <f t="shared" si="55"/>
        <v>0.1297071082439033</v>
      </c>
      <c r="BG80" s="44">
        <f t="shared" si="62"/>
        <v>10333333</v>
      </c>
      <c r="BH80" s="44">
        <f t="shared" si="63"/>
        <v>0</v>
      </c>
      <c r="BI80" s="44">
        <f t="shared" si="63"/>
        <v>0</v>
      </c>
      <c r="BJ80" s="44">
        <f t="shared" si="63"/>
        <v>0</v>
      </c>
      <c r="BK80" s="44">
        <f t="shared" si="63"/>
        <v>0</v>
      </c>
      <c r="BL80" s="44">
        <f t="shared" si="63"/>
        <v>0</v>
      </c>
      <c r="BM80" s="44">
        <f t="shared" si="63"/>
        <v>0</v>
      </c>
      <c r="BN80" s="44">
        <f t="shared" si="63"/>
        <v>0</v>
      </c>
      <c r="BO80" s="44">
        <f t="shared" si="63"/>
        <v>0</v>
      </c>
      <c r="BP80" s="44">
        <f t="shared" si="63"/>
        <v>0</v>
      </c>
      <c r="BQ80" s="44">
        <f t="shared" si="63"/>
        <v>0</v>
      </c>
      <c r="BR80" s="44">
        <f t="shared" si="63"/>
        <v>0</v>
      </c>
      <c r="BS80" s="44">
        <f t="shared" si="63"/>
        <v>0</v>
      </c>
      <c r="BT80" s="44">
        <f t="shared" si="63"/>
        <v>0</v>
      </c>
      <c r="BU80" s="44">
        <f t="shared" si="63"/>
        <v>0</v>
      </c>
      <c r="BV80" s="44">
        <f t="shared" si="63"/>
        <v>0</v>
      </c>
      <c r="BW80" s="44">
        <f t="shared" si="63"/>
        <v>0</v>
      </c>
      <c r="BX80" s="44">
        <f t="shared" si="64"/>
        <v>0</v>
      </c>
      <c r="BY80" s="44">
        <f t="shared" si="64"/>
        <v>0</v>
      </c>
      <c r="BZ80" s="44">
        <f t="shared" si="64"/>
        <v>0</v>
      </c>
      <c r="CA80" s="44">
        <f t="shared" si="64"/>
        <v>10333333</v>
      </c>
      <c r="CB80" s="44">
        <f t="shared" si="64"/>
        <v>0</v>
      </c>
      <c r="CC80" s="44">
        <f t="shared" si="64"/>
        <v>0</v>
      </c>
      <c r="CD80" s="44">
        <f t="shared" si="64"/>
        <v>0</v>
      </c>
      <c r="CE80" s="46">
        <f t="shared" si="42"/>
        <v>0.62029288861802134</v>
      </c>
      <c r="CF80" s="44">
        <f t="shared" si="68"/>
        <v>49416667</v>
      </c>
      <c r="CG80" s="44">
        <f>+'[1]Acuerdo PLAN INVERSIÓN 2021'!$H$4089</f>
        <v>17833334</v>
      </c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>
        <f>+'[1]Acuerdo PLAN INVERSIÓN 2021'!$H$4081+'[1]Acuerdo PLAN INVERSIÓN 2021'!$H$4085</f>
        <v>31583333</v>
      </c>
      <c r="DA80" s="44"/>
      <c r="DB80" s="44"/>
      <c r="DC80" s="44"/>
      <c r="DD80" s="46">
        <f t="shared" si="54"/>
        <v>0.37970711138197866</v>
      </c>
      <c r="DE80" s="44">
        <f t="shared" si="44"/>
        <v>30250000</v>
      </c>
      <c r="DF80" s="44">
        <f t="shared" si="65"/>
        <v>1833333</v>
      </c>
      <c r="DG80" s="44">
        <f t="shared" si="65"/>
        <v>0</v>
      </c>
      <c r="DH80" s="44">
        <f t="shared" si="65"/>
        <v>0</v>
      </c>
      <c r="DI80" s="44">
        <f t="shared" si="65"/>
        <v>0</v>
      </c>
      <c r="DJ80" s="44">
        <f t="shared" si="65"/>
        <v>0</v>
      </c>
      <c r="DK80" s="44">
        <f t="shared" si="65"/>
        <v>0</v>
      </c>
      <c r="DL80" s="44">
        <f t="shared" si="65"/>
        <v>0</v>
      </c>
      <c r="DM80" s="44">
        <f t="shared" si="65"/>
        <v>0</v>
      </c>
      <c r="DN80" s="44">
        <f t="shared" si="65"/>
        <v>0</v>
      </c>
      <c r="DO80" s="44">
        <f t="shared" si="65"/>
        <v>0</v>
      </c>
      <c r="DP80" s="44">
        <f t="shared" si="65"/>
        <v>0</v>
      </c>
      <c r="DQ80" s="44">
        <f t="shared" si="65"/>
        <v>0</v>
      </c>
      <c r="DR80" s="44">
        <f t="shared" si="65"/>
        <v>0</v>
      </c>
      <c r="DS80" s="44">
        <f t="shared" si="65"/>
        <v>0</v>
      </c>
      <c r="DT80" s="44">
        <f t="shared" si="65"/>
        <v>0</v>
      </c>
      <c r="DU80" s="44">
        <f t="shared" si="65"/>
        <v>0</v>
      </c>
      <c r="DV80" s="44">
        <f t="shared" si="66"/>
        <v>0</v>
      </c>
      <c r="DW80" s="44">
        <f t="shared" si="66"/>
        <v>0</v>
      </c>
      <c r="DX80" s="44">
        <f t="shared" si="66"/>
        <v>0</v>
      </c>
      <c r="DY80" s="44">
        <f t="shared" si="66"/>
        <v>28416667</v>
      </c>
      <c r="DZ80" s="44">
        <f t="shared" si="66"/>
        <v>0</v>
      </c>
      <c r="EA80" s="44">
        <f t="shared" si="66"/>
        <v>0</v>
      </c>
      <c r="EB80" s="44">
        <f t="shared" si="66"/>
        <v>0</v>
      </c>
    </row>
    <row r="81" spans="1:132" s="74" customFormat="1" ht="21" customHeight="1" x14ac:dyDescent="0.25">
      <c r="A81" s="109"/>
      <c r="B81" s="84"/>
      <c r="C81" s="83" t="s">
        <v>245</v>
      </c>
      <c r="D81" s="54" t="s">
        <v>246</v>
      </c>
      <c r="E81" s="42">
        <v>301</v>
      </c>
      <c r="F81" s="43" t="s">
        <v>240</v>
      </c>
      <c r="G81" s="44">
        <f t="shared" si="61"/>
        <v>10000000</v>
      </c>
      <c r="H81" s="45">
        <v>20000000</v>
      </c>
      <c r="I81" s="45">
        <f t="shared" si="67"/>
        <v>10000000</v>
      </c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>
        <v>10000000</v>
      </c>
      <c r="AA81" s="44"/>
      <c r="AB81" s="44"/>
      <c r="AC81" s="44"/>
      <c r="AD81" s="44"/>
      <c r="AE81" s="44"/>
      <c r="AF81" s="44"/>
      <c r="AG81" s="46">
        <f t="shared" si="53"/>
        <v>0</v>
      </c>
      <c r="AH81" s="44">
        <f t="shared" si="38"/>
        <v>0</v>
      </c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6">
        <f t="shared" si="55"/>
        <v>1</v>
      </c>
      <c r="BG81" s="44">
        <f t="shared" si="62"/>
        <v>10000000</v>
      </c>
      <c r="BH81" s="44">
        <f t="shared" si="63"/>
        <v>0</v>
      </c>
      <c r="BI81" s="44">
        <f t="shared" si="63"/>
        <v>0</v>
      </c>
      <c r="BJ81" s="44">
        <f t="shared" si="63"/>
        <v>0</v>
      </c>
      <c r="BK81" s="44">
        <f t="shared" si="63"/>
        <v>0</v>
      </c>
      <c r="BL81" s="44">
        <f t="shared" si="63"/>
        <v>0</v>
      </c>
      <c r="BM81" s="44">
        <f t="shared" si="63"/>
        <v>0</v>
      </c>
      <c r="BN81" s="44">
        <f t="shared" si="63"/>
        <v>0</v>
      </c>
      <c r="BO81" s="44">
        <f t="shared" si="63"/>
        <v>0</v>
      </c>
      <c r="BP81" s="44">
        <f t="shared" si="63"/>
        <v>0</v>
      </c>
      <c r="BQ81" s="44">
        <f t="shared" si="63"/>
        <v>0</v>
      </c>
      <c r="BR81" s="44">
        <f t="shared" si="63"/>
        <v>0</v>
      </c>
      <c r="BS81" s="44">
        <f t="shared" si="63"/>
        <v>0</v>
      </c>
      <c r="BT81" s="44">
        <f t="shared" si="63"/>
        <v>0</v>
      </c>
      <c r="BU81" s="44">
        <f t="shared" si="63"/>
        <v>0</v>
      </c>
      <c r="BV81" s="44">
        <f t="shared" si="63"/>
        <v>0</v>
      </c>
      <c r="BW81" s="44">
        <f t="shared" si="63"/>
        <v>0</v>
      </c>
      <c r="BX81" s="44">
        <f t="shared" si="64"/>
        <v>10000000</v>
      </c>
      <c r="BY81" s="44">
        <f t="shared" si="64"/>
        <v>0</v>
      </c>
      <c r="BZ81" s="44">
        <f t="shared" si="64"/>
        <v>0</v>
      </c>
      <c r="CA81" s="44">
        <f t="shared" si="64"/>
        <v>0</v>
      </c>
      <c r="CB81" s="44">
        <f t="shared" si="64"/>
        <v>0</v>
      </c>
      <c r="CC81" s="44">
        <f t="shared" si="64"/>
        <v>0</v>
      </c>
      <c r="CD81" s="44">
        <f t="shared" si="64"/>
        <v>0</v>
      </c>
      <c r="CE81" s="46">
        <f t="shared" si="42"/>
        <v>0</v>
      </c>
      <c r="CF81" s="44">
        <f t="shared" si="68"/>
        <v>0</v>
      </c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6">
        <f t="shared" si="54"/>
        <v>1</v>
      </c>
      <c r="DE81" s="44">
        <f t="shared" si="44"/>
        <v>10000000</v>
      </c>
      <c r="DF81" s="44">
        <f t="shared" si="65"/>
        <v>0</v>
      </c>
      <c r="DG81" s="44">
        <f t="shared" si="65"/>
        <v>0</v>
      </c>
      <c r="DH81" s="44">
        <f t="shared" si="65"/>
        <v>0</v>
      </c>
      <c r="DI81" s="44">
        <f t="shared" si="65"/>
        <v>0</v>
      </c>
      <c r="DJ81" s="44">
        <f t="shared" si="65"/>
        <v>0</v>
      </c>
      <c r="DK81" s="44">
        <f t="shared" si="65"/>
        <v>0</v>
      </c>
      <c r="DL81" s="44">
        <f t="shared" si="65"/>
        <v>0</v>
      </c>
      <c r="DM81" s="44">
        <f t="shared" si="65"/>
        <v>0</v>
      </c>
      <c r="DN81" s="44">
        <f t="shared" si="65"/>
        <v>0</v>
      </c>
      <c r="DO81" s="44">
        <f t="shared" si="65"/>
        <v>0</v>
      </c>
      <c r="DP81" s="44">
        <f t="shared" si="65"/>
        <v>0</v>
      </c>
      <c r="DQ81" s="44">
        <f t="shared" si="65"/>
        <v>0</v>
      </c>
      <c r="DR81" s="44">
        <f t="shared" si="65"/>
        <v>0</v>
      </c>
      <c r="DS81" s="44">
        <f t="shared" si="65"/>
        <v>0</v>
      </c>
      <c r="DT81" s="44">
        <f t="shared" si="65"/>
        <v>0</v>
      </c>
      <c r="DU81" s="44">
        <f t="shared" si="65"/>
        <v>0</v>
      </c>
      <c r="DV81" s="44">
        <f t="shared" si="66"/>
        <v>10000000</v>
      </c>
      <c r="DW81" s="44">
        <f t="shared" si="66"/>
        <v>0</v>
      </c>
      <c r="DX81" s="44">
        <f t="shared" si="66"/>
        <v>0</v>
      </c>
      <c r="DY81" s="44">
        <f t="shared" si="66"/>
        <v>0</v>
      </c>
      <c r="DZ81" s="44">
        <f t="shared" si="66"/>
        <v>0</v>
      </c>
      <c r="EA81" s="44">
        <f t="shared" si="66"/>
        <v>0</v>
      </c>
      <c r="EB81" s="44">
        <f t="shared" si="66"/>
        <v>0</v>
      </c>
    </row>
    <row r="82" spans="1:132" s="74" customFormat="1" ht="19.899999999999999" customHeight="1" x14ac:dyDescent="0.25">
      <c r="A82" s="109"/>
      <c r="B82" s="84"/>
      <c r="C82" s="83" t="s">
        <v>247</v>
      </c>
      <c r="D82" s="54" t="s">
        <v>248</v>
      </c>
      <c r="E82" s="42">
        <v>301</v>
      </c>
      <c r="F82" s="43" t="s">
        <v>240</v>
      </c>
      <c r="G82" s="44">
        <f t="shared" si="61"/>
        <v>10000000</v>
      </c>
      <c r="H82" s="45">
        <v>17000000</v>
      </c>
      <c r="I82" s="45">
        <f t="shared" si="67"/>
        <v>7000000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>
        <v>10000000</v>
      </c>
      <c r="AA82" s="44"/>
      <c r="AB82" s="44"/>
      <c r="AC82" s="44"/>
      <c r="AD82" s="44"/>
      <c r="AE82" s="44"/>
      <c r="AF82" s="44"/>
      <c r="AG82" s="46">
        <f t="shared" si="53"/>
        <v>0</v>
      </c>
      <c r="AH82" s="44">
        <f t="shared" si="38"/>
        <v>0</v>
      </c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6">
        <f t="shared" si="55"/>
        <v>1</v>
      </c>
      <c r="BG82" s="44">
        <f t="shared" si="62"/>
        <v>10000000</v>
      </c>
      <c r="BH82" s="44">
        <f t="shared" si="63"/>
        <v>0</v>
      </c>
      <c r="BI82" s="44">
        <f t="shared" si="63"/>
        <v>0</v>
      </c>
      <c r="BJ82" s="44">
        <f t="shared" si="63"/>
        <v>0</v>
      </c>
      <c r="BK82" s="44">
        <f t="shared" si="63"/>
        <v>0</v>
      </c>
      <c r="BL82" s="44">
        <f t="shared" si="63"/>
        <v>0</v>
      </c>
      <c r="BM82" s="44">
        <f t="shared" si="63"/>
        <v>0</v>
      </c>
      <c r="BN82" s="44">
        <f t="shared" si="63"/>
        <v>0</v>
      </c>
      <c r="BO82" s="44">
        <f t="shared" si="63"/>
        <v>0</v>
      </c>
      <c r="BP82" s="44">
        <f t="shared" si="63"/>
        <v>0</v>
      </c>
      <c r="BQ82" s="44">
        <f t="shared" si="63"/>
        <v>0</v>
      </c>
      <c r="BR82" s="44">
        <f t="shared" si="63"/>
        <v>0</v>
      </c>
      <c r="BS82" s="44">
        <f t="shared" si="63"/>
        <v>0</v>
      </c>
      <c r="BT82" s="44">
        <f t="shared" si="63"/>
        <v>0</v>
      </c>
      <c r="BU82" s="44">
        <f t="shared" si="63"/>
        <v>0</v>
      </c>
      <c r="BV82" s="44">
        <f t="shared" si="63"/>
        <v>0</v>
      </c>
      <c r="BW82" s="44">
        <f t="shared" si="63"/>
        <v>0</v>
      </c>
      <c r="BX82" s="44">
        <f t="shared" si="64"/>
        <v>10000000</v>
      </c>
      <c r="BY82" s="44">
        <f t="shared" si="64"/>
        <v>0</v>
      </c>
      <c r="BZ82" s="44">
        <f t="shared" si="64"/>
        <v>0</v>
      </c>
      <c r="CA82" s="44">
        <f t="shared" si="64"/>
        <v>0</v>
      </c>
      <c r="CB82" s="44">
        <f t="shared" si="64"/>
        <v>0</v>
      </c>
      <c r="CC82" s="44">
        <f t="shared" si="64"/>
        <v>0</v>
      </c>
      <c r="CD82" s="44">
        <f t="shared" si="64"/>
        <v>0</v>
      </c>
      <c r="CE82" s="46">
        <f t="shared" si="42"/>
        <v>0</v>
      </c>
      <c r="CF82" s="44">
        <f t="shared" si="68"/>
        <v>0</v>
      </c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6">
        <f t="shared" si="54"/>
        <v>1</v>
      </c>
      <c r="DE82" s="44">
        <f t="shared" si="44"/>
        <v>10000000</v>
      </c>
      <c r="DF82" s="44">
        <f t="shared" si="65"/>
        <v>0</v>
      </c>
      <c r="DG82" s="44">
        <f t="shared" si="65"/>
        <v>0</v>
      </c>
      <c r="DH82" s="44">
        <f t="shared" si="65"/>
        <v>0</v>
      </c>
      <c r="DI82" s="44">
        <f t="shared" si="65"/>
        <v>0</v>
      </c>
      <c r="DJ82" s="44">
        <f t="shared" si="65"/>
        <v>0</v>
      </c>
      <c r="DK82" s="44">
        <f t="shared" si="65"/>
        <v>0</v>
      </c>
      <c r="DL82" s="44">
        <f t="shared" si="65"/>
        <v>0</v>
      </c>
      <c r="DM82" s="44">
        <f t="shared" si="65"/>
        <v>0</v>
      </c>
      <c r="DN82" s="44">
        <f t="shared" si="65"/>
        <v>0</v>
      </c>
      <c r="DO82" s="44">
        <f t="shared" si="65"/>
        <v>0</v>
      </c>
      <c r="DP82" s="44">
        <f t="shared" si="65"/>
        <v>0</v>
      </c>
      <c r="DQ82" s="44">
        <f t="shared" si="65"/>
        <v>0</v>
      </c>
      <c r="DR82" s="44">
        <f t="shared" si="65"/>
        <v>0</v>
      </c>
      <c r="DS82" s="44">
        <f t="shared" si="65"/>
        <v>0</v>
      </c>
      <c r="DT82" s="44">
        <f t="shared" si="65"/>
        <v>0</v>
      </c>
      <c r="DU82" s="44">
        <f t="shared" si="65"/>
        <v>0</v>
      </c>
      <c r="DV82" s="44">
        <f t="shared" si="66"/>
        <v>10000000</v>
      </c>
      <c r="DW82" s="44">
        <f t="shared" si="66"/>
        <v>0</v>
      </c>
      <c r="DX82" s="44">
        <f t="shared" si="66"/>
        <v>0</v>
      </c>
      <c r="DY82" s="44">
        <f t="shared" si="66"/>
        <v>0</v>
      </c>
      <c r="DZ82" s="44">
        <f t="shared" si="66"/>
        <v>0</v>
      </c>
      <c r="EA82" s="44">
        <f t="shared" si="66"/>
        <v>0</v>
      </c>
      <c r="EB82" s="44">
        <f t="shared" si="66"/>
        <v>0</v>
      </c>
    </row>
    <row r="83" spans="1:132" s="74" customFormat="1" ht="33.6" customHeight="1" x14ac:dyDescent="0.25">
      <c r="A83" s="109"/>
      <c r="B83" s="84"/>
      <c r="C83" s="83" t="s">
        <v>249</v>
      </c>
      <c r="D83" s="54" t="s">
        <v>250</v>
      </c>
      <c r="E83" s="42">
        <v>301</v>
      </c>
      <c r="F83" s="43" t="s">
        <v>240</v>
      </c>
      <c r="G83" s="44">
        <f t="shared" si="61"/>
        <v>34800000</v>
      </c>
      <c r="H83" s="45">
        <v>41000000</v>
      </c>
      <c r="I83" s="45">
        <f t="shared" si="67"/>
        <v>6200000</v>
      </c>
      <c r="J83" s="44">
        <f>8800000</f>
        <v>8800000</v>
      </c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>
        <v>15000000</v>
      </c>
      <c r="AA83" s="44">
        <f>11000000</f>
        <v>11000000</v>
      </c>
      <c r="AB83" s="44"/>
      <c r="AC83" s="44"/>
      <c r="AD83" s="44"/>
      <c r="AE83" s="44"/>
      <c r="AF83" s="44"/>
      <c r="AG83" s="46">
        <f t="shared" si="53"/>
        <v>0.80344827586206902</v>
      </c>
      <c r="AH83" s="44">
        <f t="shared" si="38"/>
        <v>27960000</v>
      </c>
      <c r="AI83" s="44">
        <f>+'[1]Acuerdo PLAN INVERSIÓN 2021'!$L$4105</f>
        <v>8800000</v>
      </c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>
        <f>+'[10]Acuerdo PLAN INVERSIÓN 2021'!$Z$801</f>
        <v>12240000</v>
      </c>
      <c r="AZ83" s="44">
        <f>+'[4]Acuerdo PLAN INVERSIÓN 2021'!$X$2439</f>
        <v>6920000</v>
      </c>
      <c r="BA83" s="44"/>
      <c r="BB83" s="44"/>
      <c r="BC83" s="44"/>
      <c r="BD83" s="44"/>
      <c r="BE83" s="44"/>
      <c r="BF83" s="46">
        <f t="shared" si="55"/>
        <v>0.19655172413793098</v>
      </c>
      <c r="BG83" s="44">
        <f t="shared" si="62"/>
        <v>6840000</v>
      </c>
      <c r="BH83" s="44">
        <f t="shared" si="63"/>
        <v>0</v>
      </c>
      <c r="BI83" s="44">
        <f t="shared" si="63"/>
        <v>0</v>
      </c>
      <c r="BJ83" s="44">
        <f t="shared" si="63"/>
        <v>0</v>
      </c>
      <c r="BK83" s="44">
        <f t="shared" si="63"/>
        <v>0</v>
      </c>
      <c r="BL83" s="44">
        <f t="shared" si="63"/>
        <v>0</v>
      </c>
      <c r="BM83" s="44">
        <f t="shared" si="63"/>
        <v>0</v>
      </c>
      <c r="BN83" s="44">
        <f t="shared" si="63"/>
        <v>0</v>
      </c>
      <c r="BO83" s="44">
        <f t="shared" si="63"/>
        <v>0</v>
      </c>
      <c r="BP83" s="44">
        <f t="shared" si="63"/>
        <v>0</v>
      </c>
      <c r="BQ83" s="44">
        <f t="shared" si="63"/>
        <v>0</v>
      </c>
      <c r="BR83" s="44">
        <f t="shared" si="63"/>
        <v>0</v>
      </c>
      <c r="BS83" s="44">
        <f t="shared" si="63"/>
        <v>0</v>
      </c>
      <c r="BT83" s="44">
        <f t="shared" si="63"/>
        <v>0</v>
      </c>
      <c r="BU83" s="44">
        <f t="shared" si="63"/>
        <v>0</v>
      </c>
      <c r="BV83" s="44">
        <f t="shared" si="63"/>
        <v>0</v>
      </c>
      <c r="BW83" s="44">
        <f t="shared" si="63"/>
        <v>0</v>
      </c>
      <c r="BX83" s="44">
        <f t="shared" si="64"/>
        <v>2760000</v>
      </c>
      <c r="BY83" s="44">
        <f t="shared" si="64"/>
        <v>4080000</v>
      </c>
      <c r="BZ83" s="44">
        <f t="shared" si="64"/>
        <v>0</v>
      </c>
      <c r="CA83" s="44">
        <f t="shared" si="64"/>
        <v>0</v>
      </c>
      <c r="CB83" s="44">
        <f t="shared" si="64"/>
        <v>0</v>
      </c>
      <c r="CC83" s="44">
        <f t="shared" si="64"/>
        <v>0</v>
      </c>
      <c r="CD83" s="44">
        <f t="shared" si="64"/>
        <v>0</v>
      </c>
      <c r="CE83" s="46">
        <f t="shared" si="42"/>
        <v>0.34482758620689657</v>
      </c>
      <c r="CF83" s="44">
        <f t="shared" si="68"/>
        <v>12000000</v>
      </c>
      <c r="CG83" s="44">
        <f>+'[1]Acuerdo PLAN INVERSIÓN 2021'!$H$4112</f>
        <v>3920000</v>
      </c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>
        <f>+'[10]Acuerdo PLAN INVERSIÓN 2021'!$H$799</f>
        <v>6120000</v>
      </c>
      <c r="CX83" s="44">
        <f>+'[3]Acuerdo PLAN INVERSIÓN 2021'!$H$2918</f>
        <v>1960000</v>
      </c>
      <c r="CY83" s="44"/>
      <c r="CZ83" s="44"/>
      <c r="DA83" s="44"/>
      <c r="DB83" s="44"/>
      <c r="DC83" s="44"/>
      <c r="DD83" s="46">
        <f t="shared" si="54"/>
        <v>0.65517241379310343</v>
      </c>
      <c r="DE83" s="44">
        <f t="shared" si="44"/>
        <v>22800000</v>
      </c>
      <c r="DF83" s="44">
        <f t="shared" si="65"/>
        <v>4880000</v>
      </c>
      <c r="DG83" s="44">
        <f t="shared" si="65"/>
        <v>0</v>
      </c>
      <c r="DH83" s="44">
        <f t="shared" si="65"/>
        <v>0</v>
      </c>
      <c r="DI83" s="44">
        <f t="shared" si="65"/>
        <v>0</v>
      </c>
      <c r="DJ83" s="44">
        <f t="shared" si="65"/>
        <v>0</v>
      </c>
      <c r="DK83" s="44">
        <f t="shared" si="65"/>
        <v>0</v>
      </c>
      <c r="DL83" s="44">
        <f t="shared" si="65"/>
        <v>0</v>
      </c>
      <c r="DM83" s="44">
        <f t="shared" si="65"/>
        <v>0</v>
      </c>
      <c r="DN83" s="44">
        <f t="shared" si="65"/>
        <v>0</v>
      </c>
      <c r="DO83" s="44">
        <f t="shared" si="65"/>
        <v>0</v>
      </c>
      <c r="DP83" s="44">
        <f t="shared" si="65"/>
        <v>0</v>
      </c>
      <c r="DQ83" s="44">
        <f t="shared" si="65"/>
        <v>0</v>
      </c>
      <c r="DR83" s="44">
        <f t="shared" si="65"/>
        <v>0</v>
      </c>
      <c r="DS83" s="44">
        <f t="shared" si="65"/>
        <v>0</v>
      </c>
      <c r="DT83" s="44">
        <f t="shared" si="65"/>
        <v>0</v>
      </c>
      <c r="DU83" s="44">
        <f t="shared" si="65"/>
        <v>0</v>
      </c>
      <c r="DV83" s="44">
        <f t="shared" si="66"/>
        <v>8880000</v>
      </c>
      <c r="DW83" s="44">
        <f t="shared" si="66"/>
        <v>9040000</v>
      </c>
      <c r="DX83" s="44">
        <f t="shared" si="66"/>
        <v>0</v>
      </c>
      <c r="DY83" s="44">
        <f t="shared" si="66"/>
        <v>0</v>
      </c>
      <c r="DZ83" s="44">
        <f t="shared" si="66"/>
        <v>0</v>
      </c>
      <c r="EA83" s="44">
        <f t="shared" si="66"/>
        <v>0</v>
      </c>
      <c r="EB83" s="44">
        <f t="shared" si="66"/>
        <v>0</v>
      </c>
    </row>
    <row r="84" spans="1:132" s="74" customFormat="1" ht="33" customHeight="1" x14ac:dyDescent="0.25">
      <c r="A84" s="109"/>
      <c r="B84" s="81"/>
      <c r="C84" s="83" t="s">
        <v>251</v>
      </c>
      <c r="D84" s="54" t="s">
        <v>252</v>
      </c>
      <c r="E84" s="55">
        <v>301</v>
      </c>
      <c r="F84" s="56" t="s">
        <v>240</v>
      </c>
      <c r="G84" s="44">
        <f t="shared" si="61"/>
        <v>85000000</v>
      </c>
      <c r="H84" s="45">
        <v>141000000</v>
      </c>
      <c r="I84" s="45">
        <f t="shared" si="67"/>
        <v>56000000</v>
      </c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>
        <f>15000000</f>
        <v>15000000</v>
      </c>
      <c r="AB84" s="44"/>
      <c r="AC84" s="44">
        <v>70000000</v>
      </c>
      <c r="AD84" s="44"/>
      <c r="AE84" s="44"/>
      <c r="AF84" s="44"/>
      <c r="AG84" s="46">
        <f t="shared" si="53"/>
        <v>0.85166863529411763</v>
      </c>
      <c r="AH84" s="44">
        <f t="shared" si="38"/>
        <v>72391834</v>
      </c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>
        <f>+'[4]Acuerdo PLAN INVERSIÓN 2021'!$X$2447</f>
        <v>2391834</v>
      </c>
      <c r="BA84" s="44"/>
      <c r="BB84" s="44">
        <f>+'[4]Acuerdo PLAN INVERSIÓN 2021'!$AB$2447</f>
        <v>70000000</v>
      </c>
      <c r="BC84" s="44"/>
      <c r="BD84" s="44"/>
      <c r="BE84" s="44"/>
      <c r="BF84" s="110">
        <f t="shared" si="55"/>
        <v>0.14833136470588237</v>
      </c>
      <c r="BG84" s="44">
        <f t="shared" si="62"/>
        <v>12608166</v>
      </c>
      <c r="BH84" s="44">
        <f t="shared" si="63"/>
        <v>0</v>
      </c>
      <c r="BI84" s="44">
        <f t="shared" si="63"/>
        <v>0</v>
      </c>
      <c r="BJ84" s="44">
        <f t="shared" si="63"/>
        <v>0</v>
      </c>
      <c r="BK84" s="44">
        <f t="shared" si="63"/>
        <v>0</v>
      </c>
      <c r="BL84" s="44">
        <f t="shared" si="63"/>
        <v>0</v>
      </c>
      <c r="BM84" s="44">
        <f t="shared" si="63"/>
        <v>0</v>
      </c>
      <c r="BN84" s="44">
        <f t="shared" si="63"/>
        <v>0</v>
      </c>
      <c r="BO84" s="44">
        <f t="shared" si="63"/>
        <v>0</v>
      </c>
      <c r="BP84" s="44">
        <f t="shared" si="63"/>
        <v>0</v>
      </c>
      <c r="BQ84" s="44">
        <f t="shared" si="63"/>
        <v>0</v>
      </c>
      <c r="BR84" s="44">
        <f t="shared" si="63"/>
        <v>0</v>
      </c>
      <c r="BS84" s="44">
        <f t="shared" si="63"/>
        <v>0</v>
      </c>
      <c r="BT84" s="44">
        <f t="shared" si="63"/>
        <v>0</v>
      </c>
      <c r="BU84" s="44">
        <f t="shared" si="63"/>
        <v>0</v>
      </c>
      <c r="BV84" s="44">
        <f t="shared" si="63"/>
        <v>0</v>
      </c>
      <c r="BW84" s="44">
        <f t="shared" si="63"/>
        <v>0</v>
      </c>
      <c r="BX84" s="44">
        <f t="shared" si="64"/>
        <v>0</v>
      </c>
      <c r="BY84" s="44">
        <f t="shared" si="64"/>
        <v>12608166</v>
      </c>
      <c r="BZ84" s="44">
        <f t="shared" si="64"/>
        <v>0</v>
      </c>
      <c r="CA84" s="44">
        <f t="shared" si="64"/>
        <v>0</v>
      </c>
      <c r="CB84" s="44">
        <f t="shared" si="64"/>
        <v>0</v>
      </c>
      <c r="CC84" s="44">
        <f t="shared" si="64"/>
        <v>0</v>
      </c>
      <c r="CD84" s="44">
        <f t="shared" si="64"/>
        <v>0</v>
      </c>
      <c r="CE84" s="46">
        <f t="shared" si="42"/>
        <v>0.78037647058823534</v>
      </c>
      <c r="CF84" s="44">
        <f t="shared" si="68"/>
        <v>66332000</v>
      </c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>
        <f>+'[2]Acuerdo PLAN INVERSIÓN 2021'!$H$3384+'[2]Acuerdo PLAN INVERSIÓN 2021'!$H$3387+'[2]Acuerdo PLAN INVERSIÓN 2021'!$H$3392+'[2]Acuerdo PLAN INVERSIÓN 2021'!$H$3395</f>
        <v>66332000</v>
      </c>
      <c r="DA84" s="44"/>
      <c r="DB84" s="44"/>
      <c r="DC84" s="44"/>
      <c r="DD84" s="110">
        <f t="shared" si="54"/>
        <v>0.21962352941176466</v>
      </c>
      <c r="DE84" s="44">
        <f t="shared" si="44"/>
        <v>18668000</v>
      </c>
      <c r="DF84" s="44">
        <f t="shared" si="65"/>
        <v>0</v>
      </c>
      <c r="DG84" s="44">
        <f t="shared" si="65"/>
        <v>0</v>
      </c>
      <c r="DH84" s="44">
        <f t="shared" si="65"/>
        <v>0</v>
      </c>
      <c r="DI84" s="44">
        <f t="shared" si="65"/>
        <v>0</v>
      </c>
      <c r="DJ84" s="44">
        <f t="shared" si="65"/>
        <v>0</v>
      </c>
      <c r="DK84" s="44">
        <f t="shared" si="65"/>
        <v>0</v>
      </c>
      <c r="DL84" s="44">
        <f t="shared" si="65"/>
        <v>0</v>
      </c>
      <c r="DM84" s="44">
        <f t="shared" si="65"/>
        <v>0</v>
      </c>
      <c r="DN84" s="44">
        <f t="shared" si="65"/>
        <v>0</v>
      </c>
      <c r="DO84" s="44">
        <f t="shared" si="65"/>
        <v>0</v>
      </c>
      <c r="DP84" s="44">
        <f t="shared" si="65"/>
        <v>0</v>
      </c>
      <c r="DQ84" s="44">
        <f t="shared" si="65"/>
        <v>0</v>
      </c>
      <c r="DR84" s="44">
        <f t="shared" si="65"/>
        <v>0</v>
      </c>
      <c r="DS84" s="44">
        <f t="shared" si="65"/>
        <v>0</v>
      </c>
      <c r="DT84" s="44">
        <f t="shared" si="65"/>
        <v>0</v>
      </c>
      <c r="DU84" s="44">
        <f t="shared" si="65"/>
        <v>0</v>
      </c>
      <c r="DV84" s="44">
        <f t="shared" si="66"/>
        <v>0</v>
      </c>
      <c r="DW84" s="44">
        <f t="shared" si="66"/>
        <v>15000000</v>
      </c>
      <c r="DX84" s="44">
        <f t="shared" si="66"/>
        <v>0</v>
      </c>
      <c r="DY84" s="44">
        <f t="shared" si="66"/>
        <v>3668000</v>
      </c>
      <c r="DZ84" s="44">
        <f t="shared" si="66"/>
        <v>0</v>
      </c>
      <c r="EA84" s="44">
        <f t="shared" si="66"/>
        <v>0</v>
      </c>
      <c r="EB84" s="44">
        <f t="shared" si="66"/>
        <v>0</v>
      </c>
    </row>
    <row r="85" spans="1:132" ht="27.75" customHeight="1" x14ac:dyDescent="0.25">
      <c r="A85" s="109"/>
      <c r="B85" s="77" t="s">
        <v>253</v>
      </c>
      <c r="C85" s="111" t="s">
        <v>254</v>
      </c>
      <c r="D85" s="54" t="s">
        <v>255</v>
      </c>
      <c r="E85" s="42">
        <v>301</v>
      </c>
      <c r="F85" s="43" t="s">
        <v>256</v>
      </c>
      <c r="G85" s="44">
        <f t="shared" si="61"/>
        <v>68000000</v>
      </c>
      <c r="H85" s="45">
        <v>97200000</v>
      </c>
      <c r="I85" s="45">
        <f t="shared" si="67"/>
        <v>29200000</v>
      </c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>
        <v>60000000</v>
      </c>
      <c r="AD85" s="44"/>
      <c r="AE85" s="44"/>
      <c r="AF85" s="44">
        <f>3000000+5000000</f>
        <v>8000000</v>
      </c>
      <c r="AG85" s="46">
        <f t="shared" si="53"/>
        <v>0.77352941176470591</v>
      </c>
      <c r="AH85" s="44">
        <f t="shared" si="38"/>
        <v>52600000</v>
      </c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>
        <f>+'[6]Acuerdo PLAN INVERSIÓN 2021'!$AB$4952</f>
        <v>44600000</v>
      </c>
      <c r="BC85" s="44"/>
      <c r="BD85" s="44"/>
      <c r="BE85" s="44">
        <f>+'[6]Acuerdo PLAN INVERSIÓN 2021'!$AF$4952</f>
        <v>8000000</v>
      </c>
      <c r="BF85" s="46">
        <f t="shared" si="55"/>
        <v>0.22647058823529409</v>
      </c>
      <c r="BG85" s="44">
        <f t="shared" si="62"/>
        <v>15400000</v>
      </c>
      <c r="BH85" s="44">
        <f t="shared" si="63"/>
        <v>0</v>
      </c>
      <c r="BI85" s="44">
        <f t="shared" si="63"/>
        <v>0</v>
      </c>
      <c r="BJ85" s="44">
        <f t="shared" si="63"/>
        <v>0</v>
      </c>
      <c r="BK85" s="44">
        <f t="shared" si="63"/>
        <v>0</v>
      </c>
      <c r="BL85" s="44">
        <f t="shared" si="63"/>
        <v>0</v>
      </c>
      <c r="BM85" s="44">
        <f t="shared" si="63"/>
        <v>0</v>
      </c>
      <c r="BN85" s="44">
        <f t="shared" si="63"/>
        <v>0</v>
      </c>
      <c r="BO85" s="44">
        <f t="shared" si="63"/>
        <v>0</v>
      </c>
      <c r="BP85" s="44">
        <f t="shared" si="63"/>
        <v>0</v>
      </c>
      <c r="BQ85" s="44">
        <f t="shared" si="63"/>
        <v>0</v>
      </c>
      <c r="BR85" s="44">
        <f t="shared" si="63"/>
        <v>0</v>
      </c>
      <c r="BS85" s="44">
        <f t="shared" si="63"/>
        <v>0</v>
      </c>
      <c r="BT85" s="44">
        <f t="shared" si="63"/>
        <v>0</v>
      </c>
      <c r="BU85" s="44">
        <f t="shared" si="63"/>
        <v>0</v>
      </c>
      <c r="BV85" s="44">
        <f t="shared" si="63"/>
        <v>0</v>
      </c>
      <c r="BW85" s="44">
        <f t="shared" si="63"/>
        <v>0</v>
      </c>
      <c r="BX85" s="44">
        <f t="shared" si="64"/>
        <v>0</v>
      </c>
      <c r="BY85" s="44">
        <f t="shared" si="64"/>
        <v>0</v>
      </c>
      <c r="BZ85" s="44">
        <f t="shared" si="64"/>
        <v>0</v>
      </c>
      <c r="CA85" s="44">
        <f t="shared" si="64"/>
        <v>15400000</v>
      </c>
      <c r="CB85" s="44">
        <f t="shared" si="64"/>
        <v>0</v>
      </c>
      <c r="CC85" s="44">
        <f t="shared" si="64"/>
        <v>0</v>
      </c>
      <c r="CD85" s="44">
        <f t="shared" si="64"/>
        <v>0</v>
      </c>
      <c r="CE85" s="46">
        <f t="shared" si="42"/>
        <v>0.11739708823529411</v>
      </c>
      <c r="CF85" s="44">
        <f t="shared" si="68"/>
        <v>7983002</v>
      </c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>
        <f>+'[4]Acuerdo PLAN INVERSIÓN 2021'!$H$2463+'[5]Acuerdo PLAN INVERSIÓN 2021'!$H$5801</f>
        <v>7983002</v>
      </c>
      <c r="DD85" s="46">
        <f t="shared" si="54"/>
        <v>0.88260291176470584</v>
      </c>
      <c r="DE85" s="44">
        <f t="shared" si="44"/>
        <v>60016998</v>
      </c>
      <c r="DF85" s="44">
        <f t="shared" si="65"/>
        <v>0</v>
      </c>
      <c r="DG85" s="44">
        <f t="shared" si="65"/>
        <v>0</v>
      </c>
      <c r="DH85" s="44">
        <f t="shared" si="65"/>
        <v>0</v>
      </c>
      <c r="DI85" s="44">
        <f t="shared" si="65"/>
        <v>0</v>
      </c>
      <c r="DJ85" s="44">
        <f t="shared" si="65"/>
        <v>0</v>
      </c>
      <c r="DK85" s="44">
        <f t="shared" si="65"/>
        <v>0</v>
      </c>
      <c r="DL85" s="44">
        <f t="shared" si="65"/>
        <v>0</v>
      </c>
      <c r="DM85" s="44">
        <f t="shared" si="65"/>
        <v>0</v>
      </c>
      <c r="DN85" s="44">
        <f t="shared" si="65"/>
        <v>0</v>
      </c>
      <c r="DO85" s="44">
        <f t="shared" si="65"/>
        <v>0</v>
      </c>
      <c r="DP85" s="44">
        <f t="shared" si="65"/>
        <v>0</v>
      </c>
      <c r="DQ85" s="44">
        <f t="shared" si="65"/>
        <v>0</v>
      </c>
      <c r="DR85" s="44">
        <f t="shared" si="65"/>
        <v>0</v>
      </c>
      <c r="DS85" s="44">
        <f t="shared" si="65"/>
        <v>0</v>
      </c>
      <c r="DT85" s="44">
        <f t="shared" si="65"/>
        <v>0</v>
      </c>
      <c r="DU85" s="44">
        <f t="shared" si="65"/>
        <v>0</v>
      </c>
      <c r="DV85" s="44">
        <f t="shared" si="66"/>
        <v>0</v>
      </c>
      <c r="DW85" s="44">
        <f t="shared" si="66"/>
        <v>0</v>
      </c>
      <c r="DX85" s="44">
        <f t="shared" si="66"/>
        <v>0</v>
      </c>
      <c r="DY85" s="44">
        <f t="shared" si="66"/>
        <v>60000000</v>
      </c>
      <c r="DZ85" s="44">
        <f t="shared" si="66"/>
        <v>0</v>
      </c>
      <c r="EA85" s="44">
        <f t="shared" si="66"/>
        <v>0</v>
      </c>
      <c r="EB85" s="44">
        <f t="shared" si="66"/>
        <v>16998</v>
      </c>
    </row>
    <row r="86" spans="1:132" ht="20.25" customHeight="1" x14ac:dyDescent="0.25">
      <c r="A86" s="109"/>
      <c r="B86" s="84"/>
      <c r="C86" s="111" t="s">
        <v>257</v>
      </c>
      <c r="D86" s="54" t="s">
        <v>258</v>
      </c>
      <c r="E86" s="42">
        <v>301</v>
      </c>
      <c r="F86" s="43" t="s">
        <v>240</v>
      </c>
      <c r="G86" s="44">
        <f t="shared" si="61"/>
        <v>300000000</v>
      </c>
      <c r="H86" s="45">
        <v>421000000</v>
      </c>
      <c r="I86" s="45">
        <f t="shared" si="67"/>
        <v>121000000</v>
      </c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>
        <v>300000000</v>
      </c>
      <c r="AD86" s="44"/>
      <c r="AE86" s="44"/>
      <c r="AF86" s="44"/>
      <c r="AG86" s="46">
        <f t="shared" si="53"/>
        <v>0.99983333333333335</v>
      </c>
      <c r="AH86" s="44">
        <f t="shared" si="38"/>
        <v>299950000</v>
      </c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>
        <f>+'[6]Acuerdo PLAN INVERSIÓN 2021'!$AB$4967</f>
        <v>299950000</v>
      </c>
      <c r="BC86" s="44"/>
      <c r="BD86" s="44"/>
      <c r="BE86" s="44"/>
      <c r="BF86" s="46">
        <f t="shared" si="55"/>
        <v>1.6666666666664831E-4</v>
      </c>
      <c r="BG86" s="44">
        <f t="shared" si="62"/>
        <v>50000</v>
      </c>
      <c r="BH86" s="44">
        <f t="shared" si="63"/>
        <v>0</v>
      </c>
      <c r="BI86" s="44">
        <f t="shared" si="63"/>
        <v>0</v>
      </c>
      <c r="BJ86" s="44">
        <f t="shared" si="63"/>
        <v>0</v>
      </c>
      <c r="BK86" s="44">
        <f t="shared" si="63"/>
        <v>0</v>
      </c>
      <c r="BL86" s="44">
        <f t="shared" si="63"/>
        <v>0</v>
      </c>
      <c r="BM86" s="44">
        <f t="shared" si="63"/>
        <v>0</v>
      </c>
      <c r="BN86" s="44">
        <f t="shared" si="63"/>
        <v>0</v>
      </c>
      <c r="BO86" s="44">
        <f t="shared" si="63"/>
        <v>0</v>
      </c>
      <c r="BP86" s="44">
        <f t="shared" si="63"/>
        <v>0</v>
      </c>
      <c r="BQ86" s="44">
        <f t="shared" si="63"/>
        <v>0</v>
      </c>
      <c r="BR86" s="44">
        <f t="shared" si="63"/>
        <v>0</v>
      </c>
      <c r="BS86" s="44">
        <f t="shared" si="63"/>
        <v>0</v>
      </c>
      <c r="BT86" s="44">
        <f t="shared" si="63"/>
        <v>0</v>
      </c>
      <c r="BU86" s="44">
        <f t="shared" si="63"/>
        <v>0</v>
      </c>
      <c r="BV86" s="44">
        <f t="shared" si="63"/>
        <v>0</v>
      </c>
      <c r="BW86" s="44">
        <f t="shared" si="63"/>
        <v>0</v>
      </c>
      <c r="BX86" s="44">
        <f t="shared" si="64"/>
        <v>0</v>
      </c>
      <c r="BY86" s="44">
        <f t="shared" si="64"/>
        <v>0</v>
      </c>
      <c r="BZ86" s="44">
        <f t="shared" si="64"/>
        <v>0</v>
      </c>
      <c r="CA86" s="44">
        <f t="shared" si="64"/>
        <v>50000</v>
      </c>
      <c r="CB86" s="44">
        <f t="shared" si="64"/>
        <v>0</v>
      </c>
      <c r="CC86" s="44">
        <f t="shared" si="64"/>
        <v>0</v>
      </c>
      <c r="CD86" s="44">
        <f t="shared" si="64"/>
        <v>0</v>
      </c>
      <c r="CE86" s="46">
        <f t="shared" si="42"/>
        <v>0.97058333333333335</v>
      </c>
      <c r="CF86" s="44">
        <f t="shared" si="68"/>
        <v>291175000</v>
      </c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>
        <f>+'[5]Acuerdo PLAN INVERSIÓN 2021'!$H$5804</f>
        <v>291175000</v>
      </c>
      <c r="DA86" s="44"/>
      <c r="DB86" s="44"/>
      <c r="DC86" s="44"/>
      <c r="DD86" s="46">
        <f t="shared" si="54"/>
        <v>2.9416666666666647E-2</v>
      </c>
      <c r="DE86" s="44">
        <f t="shared" si="44"/>
        <v>8825000</v>
      </c>
      <c r="DF86" s="44">
        <f t="shared" si="65"/>
        <v>0</v>
      </c>
      <c r="DG86" s="44">
        <f t="shared" si="65"/>
        <v>0</v>
      </c>
      <c r="DH86" s="44">
        <f t="shared" si="65"/>
        <v>0</v>
      </c>
      <c r="DI86" s="44">
        <f t="shared" si="65"/>
        <v>0</v>
      </c>
      <c r="DJ86" s="44">
        <f t="shared" si="65"/>
        <v>0</v>
      </c>
      <c r="DK86" s="44">
        <f t="shared" si="65"/>
        <v>0</v>
      </c>
      <c r="DL86" s="44">
        <f t="shared" si="65"/>
        <v>0</v>
      </c>
      <c r="DM86" s="44">
        <f t="shared" si="65"/>
        <v>0</v>
      </c>
      <c r="DN86" s="44">
        <f t="shared" si="65"/>
        <v>0</v>
      </c>
      <c r="DO86" s="44">
        <f t="shared" si="65"/>
        <v>0</v>
      </c>
      <c r="DP86" s="44">
        <f t="shared" si="65"/>
        <v>0</v>
      </c>
      <c r="DQ86" s="44">
        <f t="shared" si="65"/>
        <v>0</v>
      </c>
      <c r="DR86" s="44">
        <f t="shared" si="65"/>
        <v>0</v>
      </c>
      <c r="DS86" s="44">
        <f t="shared" si="65"/>
        <v>0</v>
      </c>
      <c r="DT86" s="44">
        <f t="shared" si="65"/>
        <v>0</v>
      </c>
      <c r="DU86" s="44">
        <f t="shared" si="65"/>
        <v>0</v>
      </c>
      <c r="DV86" s="44">
        <f t="shared" si="66"/>
        <v>0</v>
      </c>
      <c r="DW86" s="44">
        <f t="shared" si="66"/>
        <v>0</v>
      </c>
      <c r="DX86" s="44">
        <f t="shared" si="66"/>
        <v>0</v>
      </c>
      <c r="DY86" s="44">
        <f t="shared" si="66"/>
        <v>8825000</v>
      </c>
      <c r="DZ86" s="44">
        <f t="shared" si="66"/>
        <v>0</v>
      </c>
      <c r="EA86" s="44">
        <f t="shared" si="66"/>
        <v>0</v>
      </c>
      <c r="EB86" s="44">
        <f t="shared" si="66"/>
        <v>0</v>
      </c>
    </row>
    <row r="87" spans="1:132" ht="31.5" customHeight="1" x14ac:dyDescent="0.25">
      <c r="A87" s="109"/>
      <c r="B87" s="81"/>
      <c r="C87" s="111" t="s">
        <v>259</v>
      </c>
      <c r="D87" s="54" t="s">
        <v>260</v>
      </c>
      <c r="E87" s="42">
        <v>301</v>
      </c>
      <c r="F87" s="43" t="s">
        <v>261</v>
      </c>
      <c r="G87" s="44">
        <f t="shared" si="61"/>
        <v>305000000</v>
      </c>
      <c r="H87" s="45">
        <v>130000000</v>
      </c>
      <c r="I87" s="45">
        <f t="shared" si="67"/>
        <v>-175000000</v>
      </c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>
        <f>200000000</f>
        <v>200000000</v>
      </c>
      <c r="AB87" s="44"/>
      <c r="AC87" s="44">
        <v>100000000</v>
      </c>
      <c r="AD87" s="44"/>
      <c r="AE87" s="44"/>
      <c r="AF87" s="44">
        <v>5000000</v>
      </c>
      <c r="AG87" s="46">
        <f t="shared" si="53"/>
        <v>0.79416444590163937</v>
      </c>
      <c r="AH87" s="44">
        <f t="shared" si="38"/>
        <v>242220156</v>
      </c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>
        <f>+'[6]Acuerdo PLAN INVERSIÓN 2021'!$X$5051</f>
        <v>148220156</v>
      </c>
      <c r="BA87" s="44"/>
      <c r="BB87" s="44">
        <f>+'[4]Acuerdo PLAN INVERSIÓN 2021'!$AB$2503</f>
        <v>92000000</v>
      </c>
      <c r="BC87" s="44"/>
      <c r="BD87" s="44"/>
      <c r="BE87" s="44">
        <f>+'[4]Acuerdo PLAN INVERSIÓN 2021'!$AF$2503</f>
        <v>2000000</v>
      </c>
      <c r="BF87" s="46">
        <f t="shared" si="55"/>
        <v>0.20583555409836063</v>
      </c>
      <c r="BG87" s="44">
        <f t="shared" si="62"/>
        <v>62779844</v>
      </c>
      <c r="BH87" s="44">
        <f t="shared" si="63"/>
        <v>0</v>
      </c>
      <c r="BI87" s="44">
        <f t="shared" si="63"/>
        <v>0</v>
      </c>
      <c r="BJ87" s="44">
        <f t="shared" si="63"/>
        <v>0</v>
      </c>
      <c r="BK87" s="44">
        <f t="shared" si="63"/>
        <v>0</v>
      </c>
      <c r="BL87" s="44">
        <f t="shared" si="63"/>
        <v>0</v>
      </c>
      <c r="BM87" s="44">
        <f t="shared" si="63"/>
        <v>0</v>
      </c>
      <c r="BN87" s="44">
        <f t="shared" si="63"/>
        <v>0</v>
      </c>
      <c r="BO87" s="44">
        <f t="shared" si="63"/>
        <v>0</v>
      </c>
      <c r="BP87" s="44">
        <f t="shared" si="63"/>
        <v>0</v>
      </c>
      <c r="BQ87" s="44">
        <f t="shared" si="63"/>
        <v>0</v>
      </c>
      <c r="BR87" s="44">
        <f t="shared" si="63"/>
        <v>0</v>
      </c>
      <c r="BS87" s="44">
        <f t="shared" si="63"/>
        <v>0</v>
      </c>
      <c r="BT87" s="44">
        <f t="shared" si="63"/>
        <v>0</v>
      </c>
      <c r="BU87" s="44">
        <f t="shared" si="63"/>
        <v>0</v>
      </c>
      <c r="BV87" s="44">
        <f t="shared" si="63"/>
        <v>0</v>
      </c>
      <c r="BW87" s="44">
        <f t="shared" si="63"/>
        <v>0</v>
      </c>
      <c r="BX87" s="44">
        <f t="shared" si="64"/>
        <v>0</v>
      </c>
      <c r="BY87" s="44">
        <f t="shared" si="64"/>
        <v>51779844</v>
      </c>
      <c r="BZ87" s="44">
        <f t="shared" si="64"/>
        <v>0</v>
      </c>
      <c r="CA87" s="44">
        <f t="shared" si="64"/>
        <v>8000000</v>
      </c>
      <c r="CB87" s="44">
        <f t="shared" si="64"/>
        <v>0</v>
      </c>
      <c r="CC87" s="44">
        <f t="shared" si="64"/>
        <v>0</v>
      </c>
      <c r="CD87" s="44">
        <f t="shared" si="64"/>
        <v>3000000</v>
      </c>
      <c r="CE87" s="46">
        <f t="shared" si="42"/>
        <v>0.33443985573770491</v>
      </c>
      <c r="CF87" s="44">
        <f t="shared" si="68"/>
        <v>102004156</v>
      </c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>
        <f>+'[5]Acuerdo PLAN INVERSIÓN 2021'!$H$5894-CZ87</f>
        <v>10424156</v>
      </c>
      <c r="CY87" s="44"/>
      <c r="CZ87" s="44">
        <f>+'[5]Acuerdo PLAN INVERSIÓN 2021'!$H$5901</f>
        <v>91580000</v>
      </c>
      <c r="DA87" s="44"/>
      <c r="DB87" s="44"/>
      <c r="DC87" s="44"/>
      <c r="DD87" s="46">
        <f t="shared" si="54"/>
        <v>0.66556014426229515</v>
      </c>
      <c r="DE87" s="44">
        <f t="shared" si="44"/>
        <v>202995844</v>
      </c>
      <c r="DF87" s="44">
        <f t="shared" si="65"/>
        <v>0</v>
      </c>
      <c r="DG87" s="44">
        <f t="shared" si="65"/>
        <v>0</v>
      </c>
      <c r="DH87" s="44">
        <f t="shared" si="65"/>
        <v>0</v>
      </c>
      <c r="DI87" s="44">
        <f t="shared" si="65"/>
        <v>0</v>
      </c>
      <c r="DJ87" s="44">
        <f t="shared" si="65"/>
        <v>0</v>
      </c>
      <c r="DK87" s="44">
        <f t="shared" si="65"/>
        <v>0</v>
      </c>
      <c r="DL87" s="44">
        <f t="shared" si="65"/>
        <v>0</v>
      </c>
      <c r="DM87" s="44">
        <f t="shared" si="65"/>
        <v>0</v>
      </c>
      <c r="DN87" s="44">
        <f t="shared" si="65"/>
        <v>0</v>
      </c>
      <c r="DO87" s="44">
        <f t="shared" si="65"/>
        <v>0</v>
      </c>
      <c r="DP87" s="44">
        <f t="shared" si="65"/>
        <v>0</v>
      </c>
      <c r="DQ87" s="44">
        <f t="shared" si="65"/>
        <v>0</v>
      </c>
      <c r="DR87" s="44">
        <f t="shared" si="65"/>
        <v>0</v>
      </c>
      <c r="DS87" s="44">
        <f t="shared" si="65"/>
        <v>0</v>
      </c>
      <c r="DT87" s="44">
        <f t="shared" si="65"/>
        <v>0</v>
      </c>
      <c r="DU87" s="44">
        <f t="shared" si="65"/>
        <v>0</v>
      </c>
      <c r="DV87" s="44">
        <f t="shared" si="66"/>
        <v>0</v>
      </c>
      <c r="DW87" s="44">
        <f t="shared" si="66"/>
        <v>189575844</v>
      </c>
      <c r="DX87" s="44">
        <f t="shared" si="66"/>
        <v>0</v>
      </c>
      <c r="DY87" s="44">
        <f t="shared" si="66"/>
        <v>8420000</v>
      </c>
      <c r="DZ87" s="44">
        <f t="shared" si="66"/>
        <v>0</v>
      </c>
      <c r="EA87" s="44">
        <f t="shared" si="66"/>
        <v>0</v>
      </c>
      <c r="EB87" s="44">
        <f t="shared" si="66"/>
        <v>5000000</v>
      </c>
    </row>
    <row r="88" spans="1:132" s="74" customFormat="1" ht="19.149999999999999" customHeight="1" x14ac:dyDescent="0.25">
      <c r="A88" s="109"/>
      <c r="B88" s="77" t="s">
        <v>262</v>
      </c>
      <c r="C88" s="83" t="s">
        <v>263</v>
      </c>
      <c r="D88" s="54" t="s">
        <v>264</v>
      </c>
      <c r="E88" s="55">
        <v>301</v>
      </c>
      <c r="F88" s="56" t="s">
        <v>240</v>
      </c>
      <c r="G88" s="44">
        <f t="shared" si="61"/>
        <v>238583573</v>
      </c>
      <c r="H88" s="45">
        <v>205624500</v>
      </c>
      <c r="I88" s="45">
        <f t="shared" si="67"/>
        <v>-32959073</v>
      </c>
      <c r="J88" s="87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>
        <v>91142282</v>
      </c>
      <c r="AB88" s="44"/>
      <c r="AC88" s="87">
        <v>147441291</v>
      </c>
      <c r="AD88" s="44"/>
      <c r="AE88" s="44"/>
      <c r="AF88" s="44"/>
      <c r="AG88" s="46">
        <f t="shared" si="53"/>
        <v>0.87450124657157347</v>
      </c>
      <c r="AH88" s="44">
        <f t="shared" si="38"/>
        <v>208641632</v>
      </c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>
        <f>+'[1]Acuerdo PLAN INVERSIÓN 2021'!$X$4224</f>
        <v>63499350</v>
      </c>
      <c r="BA88" s="44"/>
      <c r="BB88" s="44">
        <f>+'[6]Acuerdo PLAN INVERSIÓN 2021'!$AB$5080</f>
        <v>145142282</v>
      </c>
      <c r="BC88" s="44"/>
      <c r="BD88" s="44"/>
      <c r="BE88" s="44"/>
      <c r="BF88" s="110">
        <f t="shared" si="55"/>
        <v>0.12549875342842653</v>
      </c>
      <c r="BG88" s="44">
        <f t="shared" si="62"/>
        <v>29941941</v>
      </c>
      <c r="BH88" s="44">
        <f t="shared" si="63"/>
        <v>0</v>
      </c>
      <c r="BI88" s="44">
        <f t="shared" si="63"/>
        <v>0</v>
      </c>
      <c r="BJ88" s="44">
        <f t="shared" si="63"/>
        <v>0</v>
      </c>
      <c r="BK88" s="44">
        <f t="shared" si="63"/>
        <v>0</v>
      </c>
      <c r="BL88" s="44">
        <f t="shared" si="63"/>
        <v>0</v>
      </c>
      <c r="BM88" s="44">
        <f t="shared" si="63"/>
        <v>0</v>
      </c>
      <c r="BN88" s="44">
        <f t="shared" si="63"/>
        <v>0</v>
      </c>
      <c r="BO88" s="44">
        <f t="shared" si="63"/>
        <v>0</v>
      </c>
      <c r="BP88" s="44">
        <f t="shared" si="63"/>
        <v>0</v>
      </c>
      <c r="BQ88" s="44">
        <f t="shared" si="63"/>
        <v>0</v>
      </c>
      <c r="BR88" s="44">
        <f t="shared" si="63"/>
        <v>0</v>
      </c>
      <c r="BS88" s="44">
        <f t="shared" si="63"/>
        <v>0</v>
      </c>
      <c r="BT88" s="44">
        <f t="shared" si="63"/>
        <v>0</v>
      </c>
      <c r="BU88" s="44">
        <f t="shared" si="63"/>
        <v>0</v>
      </c>
      <c r="BV88" s="44">
        <f t="shared" si="63"/>
        <v>0</v>
      </c>
      <c r="BW88" s="44">
        <f t="shared" si="63"/>
        <v>0</v>
      </c>
      <c r="BX88" s="44">
        <f t="shared" si="64"/>
        <v>0</v>
      </c>
      <c r="BY88" s="44">
        <f t="shared" si="64"/>
        <v>27642932</v>
      </c>
      <c r="BZ88" s="44">
        <f t="shared" si="64"/>
        <v>0</v>
      </c>
      <c r="CA88" s="44">
        <f t="shared" si="64"/>
        <v>2299009</v>
      </c>
      <c r="CB88" s="44">
        <f t="shared" si="64"/>
        <v>0</v>
      </c>
      <c r="CC88" s="44">
        <f t="shared" si="64"/>
        <v>0</v>
      </c>
      <c r="CD88" s="44">
        <f t="shared" si="64"/>
        <v>0</v>
      </c>
      <c r="CE88" s="46">
        <f t="shared" si="42"/>
        <v>0.34138009996186952</v>
      </c>
      <c r="CF88" s="44">
        <f t="shared" si="68"/>
        <v>81447684</v>
      </c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>
        <f>+'[5]Acuerdo PLAN INVERSIÓN 2021'!$H$5934+'[5]Acuerdo PLAN INVERSIÓN 2021'!$H$5937+'[5]Acuerdo PLAN INVERSIÓN 2021'!$H$5940+'[5]Acuerdo PLAN INVERSIÓN 2021'!$H$5943+'[5]Acuerdo PLAN INVERSIÓN 2021'!$H$5946+'[5]Acuerdo PLAN INVERSIÓN 2021'!$H$5949+'[5]Acuerdo PLAN INVERSIÓN 2021'!$H$5952+'[5]Acuerdo PLAN INVERSIÓN 2021'!$H$5955+'[5]Acuerdo PLAN INVERSIÓN 2021'!$H$5958</f>
        <v>63246051</v>
      </c>
      <c r="CY88" s="44"/>
      <c r="CZ88" s="44">
        <f>+'[5]Acuerdo PLAN INVERSIÓN 2021'!$H$5924-CX88</f>
        <v>18201633</v>
      </c>
      <c r="DA88" s="44"/>
      <c r="DB88" s="44"/>
      <c r="DC88" s="44"/>
      <c r="DD88" s="110">
        <f t="shared" si="54"/>
        <v>0.65861990003813053</v>
      </c>
      <c r="DE88" s="44">
        <f t="shared" si="44"/>
        <v>157135889</v>
      </c>
      <c r="DF88" s="44">
        <f t="shared" si="65"/>
        <v>0</v>
      </c>
      <c r="DG88" s="44">
        <f t="shared" si="65"/>
        <v>0</v>
      </c>
      <c r="DH88" s="44">
        <f t="shared" si="65"/>
        <v>0</v>
      </c>
      <c r="DI88" s="44">
        <f t="shared" si="65"/>
        <v>0</v>
      </c>
      <c r="DJ88" s="44">
        <f t="shared" si="65"/>
        <v>0</v>
      </c>
      <c r="DK88" s="44">
        <f t="shared" si="65"/>
        <v>0</v>
      </c>
      <c r="DL88" s="44">
        <f t="shared" si="65"/>
        <v>0</v>
      </c>
      <c r="DM88" s="44">
        <f t="shared" si="65"/>
        <v>0</v>
      </c>
      <c r="DN88" s="44">
        <f t="shared" si="65"/>
        <v>0</v>
      </c>
      <c r="DO88" s="44">
        <f t="shared" si="65"/>
        <v>0</v>
      </c>
      <c r="DP88" s="44">
        <f t="shared" si="65"/>
        <v>0</v>
      </c>
      <c r="DQ88" s="44">
        <f t="shared" si="65"/>
        <v>0</v>
      </c>
      <c r="DR88" s="44">
        <f t="shared" si="65"/>
        <v>0</v>
      </c>
      <c r="DS88" s="44">
        <f t="shared" si="65"/>
        <v>0</v>
      </c>
      <c r="DT88" s="44">
        <f t="shared" si="65"/>
        <v>0</v>
      </c>
      <c r="DU88" s="44">
        <f t="shared" si="65"/>
        <v>0</v>
      </c>
      <c r="DV88" s="44">
        <f t="shared" si="66"/>
        <v>0</v>
      </c>
      <c r="DW88" s="44">
        <f t="shared" si="66"/>
        <v>27896231</v>
      </c>
      <c r="DX88" s="44">
        <f t="shared" si="66"/>
        <v>0</v>
      </c>
      <c r="DY88" s="44">
        <f t="shared" si="66"/>
        <v>129239658</v>
      </c>
      <c r="DZ88" s="44">
        <f t="shared" si="66"/>
        <v>0</v>
      </c>
      <c r="EA88" s="44">
        <f t="shared" si="66"/>
        <v>0</v>
      </c>
      <c r="EB88" s="44">
        <f t="shared" si="66"/>
        <v>0</v>
      </c>
    </row>
    <row r="89" spans="1:132" ht="28.5" customHeight="1" x14ac:dyDescent="0.25">
      <c r="A89" s="109"/>
      <c r="B89" s="81"/>
      <c r="C89" s="83" t="s">
        <v>265</v>
      </c>
      <c r="D89" s="41" t="s">
        <v>266</v>
      </c>
      <c r="E89" s="42">
        <v>301</v>
      </c>
      <c r="F89" s="43" t="s">
        <v>267</v>
      </c>
      <c r="G89" s="44">
        <f t="shared" si="61"/>
        <v>327243035</v>
      </c>
      <c r="H89" s="45">
        <v>411249000</v>
      </c>
      <c r="I89" s="45">
        <f t="shared" si="67"/>
        <v>84005965</v>
      </c>
      <c r="J89" s="44"/>
      <c r="K89" s="44"/>
      <c r="L89" s="44">
        <v>24243035</v>
      </c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>
        <v>300000000</v>
      </c>
      <c r="AD89" s="44"/>
      <c r="AE89" s="44"/>
      <c r="AF89" s="44">
        <v>3000000</v>
      </c>
      <c r="AG89" s="46">
        <f t="shared" si="53"/>
        <v>0.90423620475222644</v>
      </c>
      <c r="AH89" s="44">
        <f t="shared" si="38"/>
        <v>295905000</v>
      </c>
      <c r="AI89" s="44"/>
      <c r="AJ89" s="44"/>
      <c r="AK89" s="44">
        <f>+'[2]Acuerdo PLAN INVERSIÓN 2021'!$K$3521</f>
        <v>2000000</v>
      </c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>
        <f>+'[2]Acuerdo PLAN INVERSIÓN 2021'!$AB$3521</f>
        <v>290905000</v>
      </c>
      <c r="BC89" s="44"/>
      <c r="BD89" s="44"/>
      <c r="BE89" s="44">
        <f>+'[6]Acuerdo PLAN INVERSIÓN 2021'!$AF$5143</f>
        <v>3000000</v>
      </c>
      <c r="BF89" s="46">
        <f t="shared" si="55"/>
        <v>9.5763795247773564E-2</v>
      </c>
      <c r="BG89" s="44">
        <f t="shared" si="62"/>
        <v>31338035</v>
      </c>
      <c r="BH89" s="44">
        <f t="shared" si="63"/>
        <v>0</v>
      </c>
      <c r="BI89" s="44">
        <f t="shared" si="63"/>
        <v>0</v>
      </c>
      <c r="BJ89" s="44">
        <f t="shared" si="63"/>
        <v>22243035</v>
      </c>
      <c r="BK89" s="44">
        <f t="shared" si="63"/>
        <v>0</v>
      </c>
      <c r="BL89" s="44">
        <f t="shared" si="63"/>
        <v>0</v>
      </c>
      <c r="BM89" s="44">
        <f t="shared" si="63"/>
        <v>0</v>
      </c>
      <c r="BN89" s="44">
        <f t="shared" si="63"/>
        <v>0</v>
      </c>
      <c r="BO89" s="44">
        <f t="shared" si="63"/>
        <v>0</v>
      </c>
      <c r="BP89" s="44">
        <f t="shared" si="63"/>
        <v>0</v>
      </c>
      <c r="BQ89" s="44">
        <f t="shared" si="63"/>
        <v>0</v>
      </c>
      <c r="BR89" s="44">
        <f t="shared" si="63"/>
        <v>0</v>
      </c>
      <c r="BS89" s="44">
        <f t="shared" si="63"/>
        <v>0</v>
      </c>
      <c r="BT89" s="44">
        <f t="shared" si="63"/>
        <v>0</v>
      </c>
      <c r="BU89" s="44">
        <f t="shared" si="63"/>
        <v>0</v>
      </c>
      <c r="BV89" s="44">
        <f t="shared" si="63"/>
        <v>0</v>
      </c>
      <c r="BW89" s="44">
        <f t="shared" si="63"/>
        <v>0</v>
      </c>
      <c r="BX89" s="44">
        <f t="shared" si="64"/>
        <v>0</v>
      </c>
      <c r="BY89" s="44">
        <f t="shared" si="64"/>
        <v>0</v>
      </c>
      <c r="BZ89" s="44">
        <f t="shared" si="64"/>
        <v>0</v>
      </c>
      <c r="CA89" s="44">
        <f t="shared" si="64"/>
        <v>9095000</v>
      </c>
      <c r="CB89" s="44">
        <f t="shared" si="64"/>
        <v>0</v>
      </c>
      <c r="CC89" s="44">
        <f t="shared" si="64"/>
        <v>0</v>
      </c>
      <c r="CD89" s="44">
        <f t="shared" si="64"/>
        <v>0</v>
      </c>
      <c r="CE89" s="46">
        <f t="shared" si="42"/>
        <v>0.90361994411890234</v>
      </c>
      <c r="CF89" s="44">
        <f t="shared" si="68"/>
        <v>295703333</v>
      </c>
      <c r="CG89" s="44"/>
      <c r="CH89" s="44"/>
      <c r="CI89" s="44">
        <f>+'[2]Acuerdo PLAN INVERSIÓN 2021'!$H$3546</f>
        <v>2000000</v>
      </c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>
        <f>+'[1]Acuerdo PLAN INVERSIÓN 2021'!$H$4281-CI89</f>
        <v>290703333</v>
      </c>
      <c r="DA89" s="44"/>
      <c r="DB89" s="44"/>
      <c r="DC89" s="44">
        <f>+'[5]Acuerdo PLAN INVERSIÓN 2021'!$H$6035</f>
        <v>3000000</v>
      </c>
      <c r="DD89" s="46">
        <f t="shared" si="54"/>
        <v>9.6380055881097659E-2</v>
      </c>
      <c r="DE89" s="44">
        <f t="shared" si="44"/>
        <v>31539702</v>
      </c>
      <c r="DF89" s="44">
        <f t="shared" si="65"/>
        <v>0</v>
      </c>
      <c r="DG89" s="44">
        <f t="shared" si="65"/>
        <v>0</v>
      </c>
      <c r="DH89" s="44">
        <f t="shared" si="65"/>
        <v>22243035</v>
      </c>
      <c r="DI89" s="44">
        <f t="shared" si="65"/>
        <v>0</v>
      </c>
      <c r="DJ89" s="44">
        <f t="shared" si="65"/>
        <v>0</v>
      </c>
      <c r="DK89" s="44">
        <f t="shared" si="65"/>
        <v>0</v>
      </c>
      <c r="DL89" s="44">
        <f t="shared" si="65"/>
        <v>0</v>
      </c>
      <c r="DM89" s="44">
        <f t="shared" si="65"/>
        <v>0</v>
      </c>
      <c r="DN89" s="44">
        <f t="shared" si="65"/>
        <v>0</v>
      </c>
      <c r="DO89" s="44">
        <f t="shared" si="65"/>
        <v>0</v>
      </c>
      <c r="DP89" s="44">
        <f t="shared" si="65"/>
        <v>0</v>
      </c>
      <c r="DQ89" s="44">
        <f t="shared" si="65"/>
        <v>0</v>
      </c>
      <c r="DR89" s="44">
        <f t="shared" si="65"/>
        <v>0</v>
      </c>
      <c r="DS89" s="44">
        <f t="shared" si="65"/>
        <v>0</v>
      </c>
      <c r="DT89" s="44">
        <f t="shared" si="65"/>
        <v>0</v>
      </c>
      <c r="DU89" s="44">
        <f t="shared" si="65"/>
        <v>0</v>
      </c>
      <c r="DV89" s="44">
        <f t="shared" si="66"/>
        <v>0</v>
      </c>
      <c r="DW89" s="44">
        <f t="shared" si="66"/>
        <v>0</v>
      </c>
      <c r="DX89" s="44">
        <f t="shared" si="66"/>
        <v>0</v>
      </c>
      <c r="DY89" s="44">
        <f t="shared" si="66"/>
        <v>9296667</v>
      </c>
      <c r="DZ89" s="44">
        <f t="shared" si="66"/>
        <v>0</v>
      </c>
      <c r="EA89" s="44">
        <f t="shared" si="66"/>
        <v>0</v>
      </c>
      <c r="EB89" s="44">
        <f t="shared" si="66"/>
        <v>0</v>
      </c>
    </row>
    <row r="90" spans="1:132" ht="55.5" customHeight="1" x14ac:dyDescent="0.25">
      <c r="A90" s="109"/>
      <c r="B90" s="77" t="s">
        <v>268</v>
      </c>
      <c r="C90" s="83" t="s">
        <v>269</v>
      </c>
      <c r="D90" s="54" t="s">
        <v>270</v>
      </c>
      <c r="E90" s="42">
        <v>301</v>
      </c>
      <c r="F90" s="43" t="s">
        <v>271</v>
      </c>
      <c r="G90" s="44">
        <f t="shared" si="61"/>
        <v>135362850</v>
      </c>
      <c r="H90" s="45">
        <v>70000000</v>
      </c>
      <c r="I90" s="45">
        <f t="shared" si="67"/>
        <v>-65362850</v>
      </c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>
        <v>40000000</v>
      </c>
      <c r="AA90" s="44">
        <f>40000000</f>
        <v>40000000</v>
      </c>
      <c r="AB90" s="44"/>
      <c r="AC90" s="44"/>
      <c r="AD90" s="44"/>
      <c r="AE90" s="44"/>
      <c r="AF90" s="44">
        <f>34083538+3500000-5000000+1500000+6279312+5000000+10000000</f>
        <v>55362850</v>
      </c>
      <c r="AG90" s="46">
        <f t="shared" si="53"/>
        <v>0.82934756471217919</v>
      </c>
      <c r="AH90" s="44">
        <f t="shared" si="38"/>
        <v>112262850</v>
      </c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>
        <f>+'[5]Acuerdo PLAN INVERSIÓN 2021'!$AA$6043</f>
        <v>38400000</v>
      </c>
      <c r="AZ90" s="44">
        <f>+'[1]Acuerdo PLAN INVERSIÓN 2021'!$X$4331</f>
        <v>18500000</v>
      </c>
      <c r="BA90" s="44"/>
      <c r="BB90" s="44"/>
      <c r="BC90" s="44"/>
      <c r="BD90" s="44"/>
      <c r="BE90" s="44">
        <f>+'[5]Acuerdo PLAN INVERSIÓN 2021'!$AF$6043</f>
        <v>55362850</v>
      </c>
      <c r="BF90" s="46">
        <f t="shared" si="55"/>
        <v>0.17065243528782081</v>
      </c>
      <c r="BG90" s="44">
        <f t="shared" si="62"/>
        <v>23100000</v>
      </c>
      <c r="BH90" s="44">
        <f t="shared" si="63"/>
        <v>0</v>
      </c>
      <c r="BI90" s="44">
        <f t="shared" si="63"/>
        <v>0</v>
      </c>
      <c r="BJ90" s="44">
        <f t="shared" si="63"/>
        <v>0</v>
      </c>
      <c r="BK90" s="44">
        <f t="shared" si="63"/>
        <v>0</v>
      </c>
      <c r="BL90" s="44">
        <f t="shared" si="63"/>
        <v>0</v>
      </c>
      <c r="BM90" s="44">
        <f t="shared" si="63"/>
        <v>0</v>
      </c>
      <c r="BN90" s="44">
        <f t="shared" si="63"/>
        <v>0</v>
      </c>
      <c r="BO90" s="44">
        <f t="shared" si="63"/>
        <v>0</v>
      </c>
      <c r="BP90" s="44">
        <f t="shared" si="63"/>
        <v>0</v>
      </c>
      <c r="BQ90" s="44">
        <f t="shared" si="63"/>
        <v>0</v>
      </c>
      <c r="BR90" s="44">
        <f t="shared" si="63"/>
        <v>0</v>
      </c>
      <c r="BS90" s="44">
        <f t="shared" si="63"/>
        <v>0</v>
      </c>
      <c r="BT90" s="44">
        <f t="shared" si="63"/>
        <v>0</v>
      </c>
      <c r="BU90" s="44">
        <f t="shared" si="63"/>
        <v>0</v>
      </c>
      <c r="BV90" s="44">
        <f t="shared" si="63"/>
        <v>0</v>
      </c>
      <c r="BW90" s="44">
        <f t="shared" si="63"/>
        <v>0</v>
      </c>
      <c r="BX90" s="44">
        <f t="shared" si="64"/>
        <v>1600000</v>
      </c>
      <c r="BY90" s="44">
        <f t="shared" si="64"/>
        <v>21500000</v>
      </c>
      <c r="BZ90" s="44">
        <f t="shared" si="64"/>
        <v>0</v>
      </c>
      <c r="CA90" s="44">
        <f t="shared" si="64"/>
        <v>0</v>
      </c>
      <c r="CB90" s="44">
        <f t="shared" si="64"/>
        <v>0</v>
      </c>
      <c r="CC90" s="44">
        <f t="shared" si="64"/>
        <v>0</v>
      </c>
      <c r="CD90" s="44">
        <f t="shared" si="64"/>
        <v>0</v>
      </c>
      <c r="CE90" s="46">
        <f t="shared" si="42"/>
        <v>0.73669464701725773</v>
      </c>
      <c r="CF90" s="44">
        <f t="shared" si="68"/>
        <v>99721087</v>
      </c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>
        <f>+'[5]Acuerdo PLAN INVERSIÓN 2021'!$H$6041-CX90-DC90</f>
        <v>34453333</v>
      </c>
      <c r="CX90" s="44">
        <f>+'[6]Acuerdo PLAN INVERSIÓN 2021'!$H$5221+'[6]Acuerdo PLAN INVERSIÓN 2021'!$H$5224+'[6]Acuerdo PLAN INVERSIÓN 2021'!$H$5230</f>
        <v>18500000</v>
      </c>
      <c r="CY90" s="44"/>
      <c r="CZ90" s="44"/>
      <c r="DA90" s="44"/>
      <c r="DB90" s="44"/>
      <c r="DC90" s="44">
        <f>+'[5]Acuerdo PLAN INVERSIÓN 2021'!$H$6047+'[5]Acuerdo PLAN INVERSIÓN 2021'!$H$6050+'[5]Acuerdo PLAN INVERSIÓN 2021'!$H$6055+'[5]Acuerdo PLAN INVERSIÓN 2021'!$H$6061+'[5]Acuerdo PLAN INVERSIÓN 2021'!$H$6068+'[5]Acuerdo PLAN INVERSIÓN 2021'!$H$6077+'[5]Acuerdo PLAN INVERSIÓN 2021'!$H$6083+'[5]Acuerdo PLAN INVERSIÓN 2021'!$H$6088+'[5]Acuerdo PLAN INVERSIÓN 2021'!$H$6091</f>
        <v>46767754</v>
      </c>
      <c r="DD90" s="46">
        <f t="shared" si="54"/>
        <v>0.26330535298274227</v>
      </c>
      <c r="DE90" s="44">
        <f t="shared" si="44"/>
        <v>35641763</v>
      </c>
      <c r="DF90" s="44">
        <f t="shared" si="65"/>
        <v>0</v>
      </c>
      <c r="DG90" s="44">
        <f t="shared" si="65"/>
        <v>0</v>
      </c>
      <c r="DH90" s="44">
        <f t="shared" si="65"/>
        <v>0</v>
      </c>
      <c r="DI90" s="44">
        <f t="shared" si="65"/>
        <v>0</v>
      </c>
      <c r="DJ90" s="44">
        <f t="shared" si="65"/>
        <v>0</v>
      </c>
      <c r="DK90" s="44">
        <f t="shared" si="65"/>
        <v>0</v>
      </c>
      <c r="DL90" s="44">
        <f t="shared" si="65"/>
        <v>0</v>
      </c>
      <c r="DM90" s="44">
        <f t="shared" si="65"/>
        <v>0</v>
      </c>
      <c r="DN90" s="44">
        <f t="shared" si="65"/>
        <v>0</v>
      </c>
      <c r="DO90" s="44">
        <f t="shared" si="65"/>
        <v>0</v>
      </c>
      <c r="DP90" s="44">
        <f t="shared" si="65"/>
        <v>0</v>
      </c>
      <c r="DQ90" s="44">
        <f t="shared" si="65"/>
        <v>0</v>
      </c>
      <c r="DR90" s="44">
        <f t="shared" si="65"/>
        <v>0</v>
      </c>
      <c r="DS90" s="44">
        <f t="shared" si="65"/>
        <v>0</v>
      </c>
      <c r="DT90" s="44">
        <f t="shared" si="65"/>
        <v>0</v>
      </c>
      <c r="DU90" s="44">
        <f t="shared" si="65"/>
        <v>0</v>
      </c>
      <c r="DV90" s="44">
        <f t="shared" si="66"/>
        <v>5546667</v>
      </c>
      <c r="DW90" s="44">
        <f t="shared" si="66"/>
        <v>21500000</v>
      </c>
      <c r="DX90" s="44">
        <f t="shared" si="66"/>
        <v>0</v>
      </c>
      <c r="DY90" s="44">
        <f t="shared" si="66"/>
        <v>0</v>
      </c>
      <c r="DZ90" s="44">
        <f t="shared" si="66"/>
        <v>0</v>
      </c>
      <c r="EA90" s="44">
        <f t="shared" si="66"/>
        <v>0</v>
      </c>
      <c r="EB90" s="44">
        <f t="shared" si="66"/>
        <v>8595096</v>
      </c>
    </row>
    <row r="91" spans="1:132" ht="21" customHeight="1" x14ac:dyDescent="0.25">
      <c r="A91" s="109"/>
      <c r="B91" s="84"/>
      <c r="C91" s="83" t="s">
        <v>272</v>
      </c>
      <c r="D91" s="54" t="s">
        <v>273</v>
      </c>
      <c r="E91" s="55">
        <v>301</v>
      </c>
      <c r="F91" s="56" t="s">
        <v>240</v>
      </c>
      <c r="G91" s="44">
        <f t="shared" si="61"/>
        <v>152100000</v>
      </c>
      <c r="H91" s="45">
        <v>96000000</v>
      </c>
      <c r="I91" s="45">
        <f t="shared" si="67"/>
        <v>-56100000</v>
      </c>
      <c r="J91" s="44">
        <f>32100000</f>
        <v>32100000</v>
      </c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>
        <v>60000000</v>
      </c>
      <c r="AA91" s="44">
        <f>60000000</f>
        <v>60000000</v>
      </c>
      <c r="AB91" s="44"/>
      <c r="AC91" s="44"/>
      <c r="AD91" s="44"/>
      <c r="AE91" s="44"/>
      <c r="AF91" s="44"/>
      <c r="AG91" s="46">
        <f t="shared" si="53"/>
        <v>0.87830374753451679</v>
      </c>
      <c r="AH91" s="44">
        <f t="shared" si="38"/>
        <v>133590000</v>
      </c>
      <c r="AI91" s="44">
        <f>+'[1]Acuerdo PLAN INVERSIÓN 2021'!$L$4372</f>
        <v>32100000</v>
      </c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>
        <f>+'[11]Acuerdo PLAN INVERSIÓN 2021'!$AA$1461</f>
        <v>44440000</v>
      </c>
      <c r="AZ91" s="44">
        <f>+'[4]Acuerdo PLAN INVERSIÓN 2021'!$X$2593</f>
        <v>57050000</v>
      </c>
      <c r="BA91" s="44"/>
      <c r="BB91" s="44"/>
      <c r="BC91" s="44"/>
      <c r="BD91" s="44"/>
      <c r="BE91" s="44"/>
      <c r="BF91" s="46">
        <f t="shared" si="55"/>
        <v>0.12169625246548321</v>
      </c>
      <c r="BG91" s="44">
        <f t="shared" si="62"/>
        <v>18510000</v>
      </c>
      <c r="BH91" s="44">
        <f t="shared" si="63"/>
        <v>0</v>
      </c>
      <c r="BI91" s="44">
        <f t="shared" si="63"/>
        <v>0</v>
      </c>
      <c r="BJ91" s="44">
        <f t="shared" si="63"/>
        <v>0</v>
      </c>
      <c r="BK91" s="44">
        <f t="shared" si="63"/>
        <v>0</v>
      </c>
      <c r="BL91" s="44">
        <f t="shared" si="63"/>
        <v>0</v>
      </c>
      <c r="BM91" s="44">
        <f t="shared" si="63"/>
        <v>0</v>
      </c>
      <c r="BN91" s="44">
        <f t="shared" si="63"/>
        <v>0</v>
      </c>
      <c r="BO91" s="44">
        <f t="shared" si="63"/>
        <v>0</v>
      </c>
      <c r="BP91" s="44">
        <f t="shared" si="63"/>
        <v>0</v>
      </c>
      <c r="BQ91" s="44">
        <f t="shared" si="63"/>
        <v>0</v>
      </c>
      <c r="BR91" s="44">
        <f t="shared" si="63"/>
        <v>0</v>
      </c>
      <c r="BS91" s="44">
        <f t="shared" si="63"/>
        <v>0</v>
      </c>
      <c r="BT91" s="44">
        <f t="shared" si="63"/>
        <v>0</v>
      </c>
      <c r="BU91" s="44">
        <f t="shared" si="63"/>
        <v>0</v>
      </c>
      <c r="BV91" s="44">
        <f t="shared" si="63"/>
        <v>0</v>
      </c>
      <c r="BW91" s="44">
        <f t="shared" si="63"/>
        <v>0</v>
      </c>
      <c r="BX91" s="44">
        <f t="shared" si="64"/>
        <v>15560000</v>
      </c>
      <c r="BY91" s="44">
        <f t="shared" si="64"/>
        <v>2950000</v>
      </c>
      <c r="BZ91" s="44">
        <f t="shared" si="64"/>
        <v>0</v>
      </c>
      <c r="CA91" s="44">
        <f t="shared" si="64"/>
        <v>0</v>
      </c>
      <c r="CB91" s="44">
        <f t="shared" si="64"/>
        <v>0</v>
      </c>
      <c r="CC91" s="44">
        <f t="shared" si="64"/>
        <v>0</v>
      </c>
      <c r="CD91" s="44">
        <f t="shared" si="64"/>
        <v>0</v>
      </c>
      <c r="CE91" s="46">
        <f t="shared" si="42"/>
        <v>0.65882282708744244</v>
      </c>
      <c r="CF91" s="44">
        <f t="shared" si="68"/>
        <v>100206952</v>
      </c>
      <c r="CG91" s="44">
        <f>+'[6]Acuerdo PLAN INVERSIÓN 2021'!$H$5279+'[6]Acuerdo PLAN INVERSIÓN 2021'!$H$5282</f>
        <v>31816666</v>
      </c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>
        <f>+'[6]Acuerdo PLAN INVERSIÓN 2021'!$H$5245+'[6]Acuerdo PLAN INVERSIÓN 2021'!$H$5248+'[6]Acuerdo PLAN INVERSIÓN 2021'!$H$5254+'[6]Acuerdo PLAN INVERSIÓN 2021'!$H$5264</f>
        <v>39246663</v>
      </c>
      <c r="CX91" s="44">
        <f>+'[6]Acuerdo PLAN INVERSIÓN 2021'!$H$5268+'[6]Acuerdo PLAN INVERSIÓN 2021'!$H$5271</f>
        <v>29143623</v>
      </c>
      <c r="CY91" s="44"/>
      <c r="CZ91" s="44"/>
      <c r="DA91" s="44"/>
      <c r="DB91" s="44"/>
      <c r="DC91" s="44"/>
      <c r="DD91" s="46">
        <f t="shared" si="54"/>
        <v>0.34117717291255756</v>
      </c>
      <c r="DE91" s="44">
        <f t="shared" si="44"/>
        <v>51893048</v>
      </c>
      <c r="DF91" s="44">
        <f t="shared" si="65"/>
        <v>283334</v>
      </c>
      <c r="DG91" s="44">
        <f t="shared" si="65"/>
        <v>0</v>
      </c>
      <c r="DH91" s="44">
        <f t="shared" si="65"/>
        <v>0</v>
      </c>
      <c r="DI91" s="44">
        <f t="shared" si="65"/>
        <v>0</v>
      </c>
      <c r="DJ91" s="44">
        <f t="shared" si="65"/>
        <v>0</v>
      </c>
      <c r="DK91" s="44">
        <f t="shared" si="65"/>
        <v>0</v>
      </c>
      <c r="DL91" s="44">
        <f t="shared" si="65"/>
        <v>0</v>
      </c>
      <c r="DM91" s="44">
        <f t="shared" si="65"/>
        <v>0</v>
      </c>
      <c r="DN91" s="44">
        <f t="shared" si="65"/>
        <v>0</v>
      </c>
      <c r="DO91" s="44">
        <f t="shared" si="65"/>
        <v>0</v>
      </c>
      <c r="DP91" s="44">
        <f t="shared" si="65"/>
        <v>0</v>
      </c>
      <c r="DQ91" s="44">
        <f t="shared" si="65"/>
        <v>0</v>
      </c>
      <c r="DR91" s="44">
        <f t="shared" si="65"/>
        <v>0</v>
      </c>
      <c r="DS91" s="44">
        <f t="shared" si="65"/>
        <v>0</v>
      </c>
      <c r="DT91" s="44">
        <f t="shared" si="65"/>
        <v>0</v>
      </c>
      <c r="DU91" s="44">
        <f t="shared" si="65"/>
        <v>0</v>
      </c>
      <c r="DV91" s="44">
        <f t="shared" si="66"/>
        <v>20753337</v>
      </c>
      <c r="DW91" s="44">
        <f t="shared" si="66"/>
        <v>30856377</v>
      </c>
      <c r="DX91" s="44">
        <f t="shared" si="66"/>
        <v>0</v>
      </c>
      <c r="DY91" s="44">
        <f t="shared" si="66"/>
        <v>0</v>
      </c>
      <c r="DZ91" s="44">
        <f t="shared" si="66"/>
        <v>0</v>
      </c>
      <c r="EA91" s="44">
        <f t="shared" si="66"/>
        <v>0</v>
      </c>
      <c r="EB91" s="44">
        <f t="shared" si="66"/>
        <v>0</v>
      </c>
    </row>
    <row r="92" spans="1:132" ht="19.149999999999999" customHeight="1" x14ac:dyDescent="0.25">
      <c r="A92" s="109"/>
      <c r="B92" s="81"/>
      <c r="C92" s="83" t="s">
        <v>274</v>
      </c>
      <c r="D92" s="54" t="s">
        <v>275</v>
      </c>
      <c r="E92" s="42">
        <v>301</v>
      </c>
      <c r="F92" s="43" t="s">
        <v>240</v>
      </c>
      <c r="G92" s="44">
        <f t="shared" si="61"/>
        <v>40000000</v>
      </c>
      <c r="H92" s="45">
        <v>20000000</v>
      </c>
      <c r="I92" s="45">
        <f t="shared" si="67"/>
        <v>-20000000</v>
      </c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>
        <v>10000000</v>
      </c>
      <c r="AA92" s="44">
        <f>30000000</f>
        <v>30000000</v>
      </c>
      <c r="AB92" s="44"/>
      <c r="AC92" s="44"/>
      <c r="AD92" s="44"/>
      <c r="AE92" s="44"/>
      <c r="AF92" s="44"/>
      <c r="AG92" s="46">
        <f t="shared" si="53"/>
        <v>1.0125E-2</v>
      </c>
      <c r="AH92" s="44">
        <f t="shared" si="38"/>
        <v>405000</v>
      </c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>
        <f>+'[6]Acuerdo PLAN INVERSIÓN 2021'!$AA$5290</f>
        <v>405000</v>
      </c>
      <c r="AZ92" s="44"/>
      <c r="BA92" s="44"/>
      <c r="BB92" s="44"/>
      <c r="BC92" s="44"/>
      <c r="BD92" s="44"/>
      <c r="BE92" s="44"/>
      <c r="BF92" s="46">
        <f t="shared" si="55"/>
        <v>0.98987499999999995</v>
      </c>
      <c r="BG92" s="44">
        <f t="shared" si="62"/>
        <v>39595000</v>
      </c>
      <c r="BH92" s="44">
        <f t="shared" si="63"/>
        <v>0</v>
      </c>
      <c r="BI92" s="44">
        <f t="shared" si="63"/>
        <v>0</v>
      </c>
      <c r="BJ92" s="44">
        <f t="shared" si="63"/>
        <v>0</v>
      </c>
      <c r="BK92" s="44">
        <f t="shared" si="63"/>
        <v>0</v>
      </c>
      <c r="BL92" s="44">
        <f t="shared" si="63"/>
        <v>0</v>
      </c>
      <c r="BM92" s="44">
        <f t="shared" si="63"/>
        <v>0</v>
      </c>
      <c r="BN92" s="44">
        <f t="shared" si="63"/>
        <v>0</v>
      </c>
      <c r="BO92" s="44">
        <f t="shared" si="63"/>
        <v>0</v>
      </c>
      <c r="BP92" s="44">
        <f t="shared" si="63"/>
        <v>0</v>
      </c>
      <c r="BQ92" s="44">
        <f t="shared" si="63"/>
        <v>0</v>
      </c>
      <c r="BR92" s="44">
        <f t="shared" si="63"/>
        <v>0</v>
      </c>
      <c r="BS92" s="44">
        <f t="shared" si="63"/>
        <v>0</v>
      </c>
      <c r="BT92" s="44">
        <f t="shared" si="63"/>
        <v>0</v>
      </c>
      <c r="BU92" s="44">
        <f t="shared" si="63"/>
        <v>0</v>
      </c>
      <c r="BV92" s="44">
        <f t="shared" si="63"/>
        <v>0</v>
      </c>
      <c r="BW92" s="44">
        <f t="shared" si="63"/>
        <v>0</v>
      </c>
      <c r="BX92" s="44">
        <f t="shared" si="64"/>
        <v>9595000</v>
      </c>
      <c r="BY92" s="44">
        <f t="shared" si="64"/>
        <v>30000000</v>
      </c>
      <c r="BZ92" s="44">
        <f t="shared" si="64"/>
        <v>0</v>
      </c>
      <c r="CA92" s="44">
        <f t="shared" si="64"/>
        <v>0</v>
      </c>
      <c r="CB92" s="44">
        <f t="shared" si="64"/>
        <v>0</v>
      </c>
      <c r="CC92" s="44">
        <f t="shared" si="64"/>
        <v>0</v>
      </c>
      <c r="CD92" s="44">
        <f t="shared" si="64"/>
        <v>0</v>
      </c>
      <c r="CE92" s="46">
        <f t="shared" si="42"/>
        <v>0</v>
      </c>
      <c r="CF92" s="44">
        <f t="shared" si="68"/>
        <v>0</v>
      </c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6">
        <f t="shared" si="54"/>
        <v>1</v>
      </c>
      <c r="DE92" s="44">
        <f t="shared" si="44"/>
        <v>40000000</v>
      </c>
      <c r="DF92" s="44">
        <f t="shared" si="65"/>
        <v>0</v>
      </c>
      <c r="DG92" s="44">
        <f t="shared" si="65"/>
        <v>0</v>
      </c>
      <c r="DH92" s="44">
        <f t="shared" si="65"/>
        <v>0</v>
      </c>
      <c r="DI92" s="44">
        <f t="shared" si="65"/>
        <v>0</v>
      </c>
      <c r="DJ92" s="44">
        <f t="shared" si="65"/>
        <v>0</v>
      </c>
      <c r="DK92" s="44">
        <f t="shared" si="65"/>
        <v>0</v>
      </c>
      <c r="DL92" s="44">
        <f t="shared" si="65"/>
        <v>0</v>
      </c>
      <c r="DM92" s="44">
        <f t="shared" si="65"/>
        <v>0</v>
      </c>
      <c r="DN92" s="44">
        <f t="shared" si="65"/>
        <v>0</v>
      </c>
      <c r="DO92" s="44">
        <f t="shared" si="65"/>
        <v>0</v>
      </c>
      <c r="DP92" s="44">
        <f t="shared" si="65"/>
        <v>0</v>
      </c>
      <c r="DQ92" s="44">
        <f t="shared" si="65"/>
        <v>0</v>
      </c>
      <c r="DR92" s="44">
        <f t="shared" si="65"/>
        <v>0</v>
      </c>
      <c r="DS92" s="44">
        <f t="shared" si="65"/>
        <v>0</v>
      </c>
      <c r="DT92" s="44">
        <f t="shared" si="65"/>
        <v>0</v>
      </c>
      <c r="DU92" s="44">
        <f t="shared" si="65"/>
        <v>0</v>
      </c>
      <c r="DV92" s="44">
        <f t="shared" si="66"/>
        <v>10000000</v>
      </c>
      <c r="DW92" s="44">
        <f t="shared" si="66"/>
        <v>30000000</v>
      </c>
      <c r="DX92" s="44">
        <f t="shared" si="66"/>
        <v>0</v>
      </c>
      <c r="DY92" s="44">
        <f t="shared" si="66"/>
        <v>0</v>
      </c>
      <c r="DZ92" s="44">
        <f t="shared" si="66"/>
        <v>0</v>
      </c>
      <c r="EA92" s="44">
        <f t="shared" si="66"/>
        <v>0</v>
      </c>
      <c r="EB92" s="44">
        <f t="shared" si="66"/>
        <v>0</v>
      </c>
    </row>
    <row r="93" spans="1:132" ht="22.15" customHeight="1" x14ac:dyDescent="0.25">
      <c r="A93" s="109"/>
      <c r="B93" s="112" t="s">
        <v>276</v>
      </c>
      <c r="C93" s="83" t="s">
        <v>277</v>
      </c>
      <c r="D93" s="41" t="s">
        <v>278</v>
      </c>
      <c r="E93" s="55">
        <v>301</v>
      </c>
      <c r="F93" s="56" t="s">
        <v>240</v>
      </c>
      <c r="G93" s="44">
        <f t="shared" si="61"/>
        <v>96900000</v>
      </c>
      <c r="H93" s="45">
        <v>65000000</v>
      </c>
      <c r="I93" s="45">
        <f t="shared" si="67"/>
        <v>-31900000</v>
      </c>
      <c r="J93" s="44">
        <f>31500000+15400000</f>
        <v>46900000</v>
      </c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>
        <v>40000000</v>
      </c>
      <c r="AA93" s="44">
        <f>10000000</f>
        <v>10000000</v>
      </c>
      <c r="AB93" s="44"/>
      <c r="AC93" s="44"/>
      <c r="AD93" s="44"/>
      <c r="AE93" s="44"/>
      <c r="AF93" s="44"/>
      <c r="AG93" s="46">
        <f t="shared" si="53"/>
        <v>0.98046095975232195</v>
      </c>
      <c r="AH93" s="44">
        <f t="shared" si="38"/>
        <v>95006667</v>
      </c>
      <c r="AI93" s="44">
        <f>+'[1]Acuerdo PLAN INVERSIÓN 2021'!$L$4423</f>
        <v>45006667</v>
      </c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>
        <f>+'[4]Acuerdo PLAN INVERSIÓN 2021'!$AA$2629</f>
        <v>40000000</v>
      </c>
      <c r="AZ93" s="44">
        <f>+'[4]Acuerdo PLAN INVERSIÓN 2021'!$X$2629</f>
        <v>10000000</v>
      </c>
      <c r="BA93" s="44"/>
      <c r="BB93" s="44"/>
      <c r="BC93" s="44"/>
      <c r="BD93" s="44"/>
      <c r="BE93" s="44"/>
      <c r="BF93" s="46">
        <f t="shared" si="55"/>
        <v>1.9539040247678052E-2</v>
      </c>
      <c r="BG93" s="44">
        <f t="shared" si="62"/>
        <v>1893333</v>
      </c>
      <c r="BH93" s="44">
        <f t="shared" si="63"/>
        <v>1893333</v>
      </c>
      <c r="BI93" s="44">
        <f t="shared" si="63"/>
        <v>0</v>
      </c>
      <c r="BJ93" s="44">
        <f t="shared" si="63"/>
        <v>0</v>
      </c>
      <c r="BK93" s="44">
        <f t="shared" si="63"/>
        <v>0</v>
      </c>
      <c r="BL93" s="44">
        <f t="shared" si="63"/>
        <v>0</v>
      </c>
      <c r="BM93" s="44">
        <f t="shared" si="63"/>
        <v>0</v>
      </c>
      <c r="BN93" s="44">
        <f t="shared" si="63"/>
        <v>0</v>
      </c>
      <c r="BO93" s="44">
        <f t="shared" si="63"/>
        <v>0</v>
      </c>
      <c r="BP93" s="44">
        <f t="shared" si="63"/>
        <v>0</v>
      </c>
      <c r="BQ93" s="44">
        <f t="shared" si="63"/>
        <v>0</v>
      </c>
      <c r="BR93" s="44">
        <f t="shared" si="63"/>
        <v>0</v>
      </c>
      <c r="BS93" s="44">
        <f t="shared" si="63"/>
        <v>0</v>
      </c>
      <c r="BT93" s="44">
        <f t="shared" si="63"/>
        <v>0</v>
      </c>
      <c r="BU93" s="44">
        <f t="shared" si="63"/>
        <v>0</v>
      </c>
      <c r="BV93" s="44">
        <f t="shared" si="63"/>
        <v>0</v>
      </c>
      <c r="BW93" s="44">
        <f>+Y93-AX93</f>
        <v>0</v>
      </c>
      <c r="BX93" s="44">
        <f t="shared" si="64"/>
        <v>0</v>
      </c>
      <c r="BY93" s="44">
        <f t="shared" si="64"/>
        <v>0</v>
      </c>
      <c r="BZ93" s="44">
        <f t="shared" si="64"/>
        <v>0</v>
      </c>
      <c r="CA93" s="44">
        <f t="shared" si="64"/>
        <v>0</v>
      </c>
      <c r="CB93" s="44">
        <f t="shared" si="64"/>
        <v>0</v>
      </c>
      <c r="CC93" s="44">
        <f t="shared" si="64"/>
        <v>0</v>
      </c>
      <c r="CD93" s="44">
        <f t="shared" si="64"/>
        <v>0</v>
      </c>
      <c r="CE93" s="46">
        <f t="shared" si="42"/>
        <v>0.77874095975232194</v>
      </c>
      <c r="CF93" s="44">
        <f t="shared" si="68"/>
        <v>75459999</v>
      </c>
      <c r="CG93" s="44">
        <f>+'[1]Acuerdo PLAN INVERSIÓN 2021'!$H$4436+'[1]Acuerdo PLAN INVERSIÓN 2021'!$H$4443+'[1]Acuerdo PLAN INVERSIÓN 2021'!$H$4447</f>
        <v>29959999</v>
      </c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>
        <f>+'[1]Acuerdo PLAN INVERSIÓN 2021'!$H$4424+'[1]Acuerdo PLAN INVERSIÓN 2021'!$H$4428</f>
        <v>35500000</v>
      </c>
      <c r="CX93" s="44">
        <f>+'[1]Acuerdo PLAN INVERSIÓN 2021'!$H$4432</f>
        <v>10000000</v>
      </c>
      <c r="CY93" s="44"/>
      <c r="CZ93" s="44"/>
      <c r="DA93" s="44"/>
      <c r="DB93" s="44"/>
      <c r="DC93" s="44"/>
      <c r="DD93" s="46">
        <f t="shared" si="54"/>
        <v>0.22125904024767806</v>
      </c>
      <c r="DE93" s="44">
        <f t="shared" si="44"/>
        <v>21440001</v>
      </c>
      <c r="DF93" s="44">
        <f t="shared" si="65"/>
        <v>16940001</v>
      </c>
      <c r="DG93" s="44">
        <f t="shared" si="65"/>
        <v>0</v>
      </c>
      <c r="DH93" s="44">
        <f t="shared" si="65"/>
        <v>0</v>
      </c>
      <c r="DI93" s="44">
        <f t="shared" si="65"/>
        <v>0</v>
      </c>
      <c r="DJ93" s="44">
        <f t="shared" si="65"/>
        <v>0</v>
      </c>
      <c r="DK93" s="44">
        <f t="shared" si="65"/>
        <v>0</v>
      </c>
      <c r="DL93" s="44">
        <f t="shared" si="65"/>
        <v>0</v>
      </c>
      <c r="DM93" s="44">
        <f t="shared" si="65"/>
        <v>0</v>
      </c>
      <c r="DN93" s="44">
        <f t="shared" si="65"/>
        <v>0</v>
      </c>
      <c r="DO93" s="44">
        <f t="shared" si="65"/>
        <v>0</v>
      </c>
      <c r="DP93" s="44">
        <f t="shared" si="65"/>
        <v>0</v>
      </c>
      <c r="DQ93" s="44">
        <f t="shared" si="65"/>
        <v>0</v>
      </c>
      <c r="DR93" s="44">
        <f t="shared" si="65"/>
        <v>0</v>
      </c>
      <c r="DS93" s="44">
        <f t="shared" si="65"/>
        <v>0</v>
      </c>
      <c r="DT93" s="44">
        <f t="shared" si="65"/>
        <v>0</v>
      </c>
      <c r="DU93" s="44">
        <f>+Y93-CV93</f>
        <v>0</v>
      </c>
      <c r="DV93" s="44">
        <f t="shared" si="66"/>
        <v>4500000</v>
      </c>
      <c r="DW93" s="44">
        <f t="shared" si="66"/>
        <v>0</v>
      </c>
      <c r="DX93" s="44">
        <f t="shared" si="66"/>
        <v>0</v>
      </c>
      <c r="DY93" s="44">
        <f t="shared" si="66"/>
        <v>0</v>
      </c>
      <c r="DZ93" s="44">
        <f t="shared" si="66"/>
        <v>0</v>
      </c>
      <c r="EA93" s="44">
        <f t="shared" si="66"/>
        <v>0</v>
      </c>
      <c r="EB93" s="44">
        <f t="shared" si="66"/>
        <v>0</v>
      </c>
    </row>
    <row r="94" spans="1:132" ht="22.5" customHeight="1" x14ac:dyDescent="0.25">
      <c r="A94" s="109"/>
      <c r="B94" s="113"/>
      <c r="C94" s="83" t="s">
        <v>279</v>
      </c>
      <c r="D94" s="114" t="s">
        <v>280</v>
      </c>
      <c r="E94" s="42">
        <v>301</v>
      </c>
      <c r="F94" s="43" t="s">
        <v>240</v>
      </c>
      <c r="G94" s="44">
        <f t="shared" si="61"/>
        <v>1171418102</v>
      </c>
      <c r="H94" s="45">
        <v>1662500000</v>
      </c>
      <c r="I94" s="45">
        <f t="shared" si="67"/>
        <v>491081898</v>
      </c>
      <c r="J94" s="115">
        <f>804086833-204300000</f>
        <v>599786833</v>
      </c>
      <c r="K94" s="115"/>
      <c r="L94" s="115"/>
      <c r="M94" s="44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7">
        <f>695913167-124281898</f>
        <v>571631269</v>
      </c>
      <c r="AD94" s="115"/>
      <c r="AE94" s="115"/>
      <c r="AF94" s="115"/>
      <c r="AG94" s="46">
        <f t="shared" si="53"/>
        <v>0</v>
      </c>
      <c r="AH94" s="44">
        <f t="shared" si="38"/>
        <v>0</v>
      </c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46">
        <f t="shared" si="55"/>
        <v>1</v>
      </c>
      <c r="BG94" s="44">
        <f t="shared" si="62"/>
        <v>1171418102</v>
      </c>
      <c r="BH94" s="44">
        <f t="shared" ref="BH94:BV96" si="69">+J94-AI94</f>
        <v>599786833</v>
      </c>
      <c r="BI94" s="44">
        <f t="shared" si="69"/>
        <v>0</v>
      </c>
      <c r="BJ94" s="44">
        <f t="shared" si="69"/>
        <v>0</v>
      </c>
      <c r="BK94" s="44">
        <f t="shared" si="69"/>
        <v>0</v>
      </c>
      <c r="BL94" s="44">
        <f t="shared" si="69"/>
        <v>0</v>
      </c>
      <c r="BM94" s="44">
        <f t="shared" si="69"/>
        <v>0</v>
      </c>
      <c r="BN94" s="44">
        <f t="shared" si="69"/>
        <v>0</v>
      </c>
      <c r="BO94" s="44">
        <f t="shared" si="69"/>
        <v>0</v>
      </c>
      <c r="BP94" s="44">
        <f t="shared" si="69"/>
        <v>0</v>
      </c>
      <c r="BQ94" s="44">
        <f t="shared" si="69"/>
        <v>0</v>
      </c>
      <c r="BR94" s="44">
        <f t="shared" si="69"/>
        <v>0</v>
      </c>
      <c r="BS94" s="44">
        <f t="shared" si="69"/>
        <v>0</v>
      </c>
      <c r="BT94" s="44">
        <f t="shared" si="69"/>
        <v>0</v>
      </c>
      <c r="BU94" s="44">
        <f t="shared" si="69"/>
        <v>0</v>
      </c>
      <c r="BV94" s="44">
        <f t="shared" si="69"/>
        <v>0</v>
      </c>
      <c r="BW94" s="44">
        <f>+Y94-AX94</f>
        <v>0</v>
      </c>
      <c r="BX94" s="44">
        <f t="shared" si="64"/>
        <v>0</v>
      </c>
      <c r="BY94" s="44">
        <f t="shared" si="64"/>
        <v>0</v>
      </c>
      <c r="BZ94" s="44">
        <f t="shared" si="64"/>
        <v>0</v>
      </c>
      <c r="CA94" s="44">
        <f t="shared" si="64"/>
        <v>571631269</v>
      </c>
      <c r="CB94" s="44">
        <f t="shared" si="64"/>
        <v>0</v>
      </c>
      <c r="CC94" s="44">
        <f t="shared" si="64"/>
        <v>0</v>
      </c>
      <c r="CD94" s="44">
        <f t="shared" si="64"/>
        <v>0</v>
      </c>
      <c r="CE94" s="46">
        <f t="shared" si="42"/>
        <v>0</v>
      </c>
      <c r="CF94" s="44">
        <f t="shared" si="68"/>
        <v>0</v>
      </c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46">
        <f t="shared" si="54"/>
        <v>1</v>
      </c>
      <c r="DE94" s="44">
        <f t="shared" si="44"/>
        <v>1171418102</v>
      </c>
      <c r="DF94" s="44">
        <f t="shared" ref="DF94:DT96" si="70">+J94-CG94</f>
        <v>599786833</v>
      </c>
      <c r="DG94" s="44">
        <f t="shared" si="70"/>
        <v>0</v>
      </c>
      <c r="DH94" s="44">
        <f t="shared" si="70"/>
        <v>0</v>
      </c>
      <c r="DI94" s="44">
        <f t="shared" si="70"/>
        <v>0</v>
      </c>
      <c r="DJ94" s="44">
        <f t="shared" si="70"/>
        <v>0</v>
      </c>
      <c r="DK94" s="44">
        <f t="shared" si="70"/>
        <v>0</v>
      </c>
      <c r="DL94" s="44">
        <f t="shared" si="70"/>
        <v>0</v>
      </c>
      <c r="DM94" s="44">
        <f t="shared" si="70"/>
        <v>0</v>
      </c>
      <c r="DN94" s="44">
        <f t="shared" si="70"/>
        <v>0</v>
      </c>
      <c r="DO94" s="44">
        <f t="shared" si="70"/>
        <v>0</v>
      </c>
      <c r="DP94" s="44">
        <f t="shared" si="70"/>
        <v>0</v>
      </c>
      <c r="DQ94" s="44">
        <f t="shared" si="70"/>
        <v>0</v>
      </c>
      <c r="DR94" s="44">
        <f t="shared" si="70"/>
        <v>0</v>
      </c>
      <c r="DS94" s="44">
        <f t="shared" si="70"/>
        <v>0</v>
      </c>
      <c r="DT94" s="44">
        <f t="shared" si="70"/>
        <v>0</v>
      </c>
      <c r="DU94" s="44">
        <f>+Y94-CV94</f>
        <v>0</v>
      </c>
      <c r="DV94" s="44">
        <f t="shared" si="66"/>
        <v>0</v>
      </c>
      <c r="DW94" s="44">
        <f t="shared" si="66"/>
        <v>0</v>
      </c>
      <c r="DX94" s="44">
        <f t="shared" si="66"/>
        <v>0</v>
      </c>
      <c r="DY94" s="44">
        <f t="shared" si="66"/>
        <v>571631269</v>
      </c>
      <c r="DZ94" s="44">
        <f t="shared" si="66"/>
        <v>0</v>
      </c>
      <c r="EA94" s="44">
        <f t="shared" si="66"/>
        <v>0</v>
      </c>
      <c r="EB94" s="44">
        <f t="shared" si="66"/>
        <v>0</v>
      </c>
    </row>
    <row r="95" spans="1:132" ht="22.5" customHeight="1" x14ac:dyDescent="0.25">
      <c r="A95" s="109"/>
      <c r="B95" s="113"/>
      <c r="C95" s="83" t="s">
        <v>281</v>
      </c>
      <c r="D95" s="114" t="s">
        <v>282</v>
      </c>
      <c r="E95" s="42">
        <v>301</v>
      </c>
      <c r="F95" s="43" t="s">
        <v>240</v>
      </c>
      <c r="G95" s="44">
        <f t="shared" si="61"/>
        <v>1057720570</v>
      </c>
      <c r="H95" s="45">
        <v>780000000</v>
      </c>
      <c r="I95" s="45">
        <f t="shared" si="67"/>
        <v>-277720570</v>
      </c>
      <c r="J95" s="44">
        <f>106000000+90000000+46200000</f>
        <v>242200000</v>
      </c>
      <c r="K95" s="115">
        <v>248478958</v>
      </c>
      <c r="L95" s="115"/>
      <c r="M95" s="44">
        <f>36383010+225000000+144137560</f>
        <v>405520570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151521042</v>
      </c>
      <c r="AA95" s="115"/>
      <c r="AB95" s="115"/>
      <c r="AC95" s="44"/>
      <c r="AD95" s="115"/>
      <c r="AE95" s="115"/>
      <c r="AF95" s="115">
        <f>10000000</f>
        <v>10000000</v>
      </c>
      <c r="AG95" s="46">
        <f t="shared" si="53"/>
        <v>0.73790033694816015</v>
      </c>
      <c r="AH95" s="44">
        <f t="shared" si="38"/>
        <v>780492365</v>
      </c>
      <c r="AI95" s="115">
        <f>+'[1]Acuerdo PLAN INVERSIÓN 2021'!$L$4458</f>
        <v>190253333</v>
      </c>
      <c r="AJ95" s="115">
        <f>+'[4]Acuerdo PLAN INVERSIÓN 2021'!$J$2653</f>
        <v>241138335</v>
      </c>
      <c r="AK95" s="115"/>
      <c r="AL95" s="115">
        <f>+'[6]Acuerdo PLAN INVERSIÓN 2021'!$M$5331</f>
        <v>191740697</v>
      </c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+'[4]Acuerdo PLAN INVERSIÓN 2021'!$AA$2653</f>
        <v>147360000</v>
      </c>
      <c r="AZ95" s="115"/>
      <c r="BA95" s="115"/>
      <c r="BB95" s="115"/>
      <c r="BC95" s="115"/>
      <c r="BD95" s="115"/>
      <c r="BE95" s="115">
        <f>+'[3]Acuerdo PLAN INVERSIÓN 2021'!$AF$3171</f>
        <v>10000000</v>
      </c>
      <c r="BF95" s="46">
        <f t="shared" si="55"/>
        <v>0.26209966305183985</v>
      </c>
      <c r="BG95" s="44">
        <f t="shared" si="62"/>
        <v>277228205</v>
      </c>
      <c r="BH95" s="44">
        <f t="shared" si="69"/>
        <v>51946667</v>
      </c>
      <c r="BI95" s="44">
        <f t="shared" si="69"/>
        <v>7340623</v>
      </c>
      <c r="BJ95" s="44">
        <f t="shared" si="69"/>
        <v>0</v>
      </c>
      <c r="BK95" s="44">
        <f t="shared" si="69"/>
        <v>213779873</v>
      </c>
      <c r="BL95" s="44">
        <f t="shared" si="69"/>
        <v>0</v>
      </c>
      <c r="BM95" s="44">
        <f t="shared" si="69"/>
        <v>0</v>
      </c>
      <c r="BN95" s="44">
        <f t="shared" si="69"/>
        <v>0</v>
      </c>
      <c r="BO95" s="44">
        <f t="shared" si="69"/>
        <v>0</v>
      </c>
      <c r="BP95" s="44">
        <f t="shared" si="69"/>
        <v>0</v>
      </c>
      <c r="BQ95" s="44">
        <f t="shared" si="69"/>
        <v>0</v>
      </c>
      <c r="BR95" s="44">
        <f t="shared" si="69"/>
        <v>0</v>
      </c>
      <c r="BS95" s="44">
        <f t="shared" si="69"/>
        <v>0</v>
      </c>
      <c r="BT95" s="44">
        <f t="shared" si="69"/>
        <v>0</v>
      </c>
      <c r="BU95" s="44">
        <f t="shared" si="69"/>
        <v>0</v>
      </c>
      <c r="BV95" s="44">
        <f t="shared" si="69"/>
        <v>0</v>
      </c>
      <c r="BW95" s="44">
        <f>+Y95-AX95</f>
        <v>0</v>
      </c>
      <c r="BX95" s="44">
        <f t="shared" si="64"/>
        <v>4161042</v>
      </c>
      <c r="BY95" s="44">
        <f t="shared" si="64"/>
        <v>0</v>
      </c>
      <c r="BZ95" s="44">
        <f t="shared" si="64"/>
        <v>0</v>
      </c>
      <c r="CA95" s="44">
        <f t="shared" si="64"/>
        <v>0</v>
      </c>
      <c r="CB95" s="44">
        <f t="shared" si="64"/>
        <v>0</v>
      </c>
      <c r="CC95" s="44">
        <f t="shared" si="64"/>
        <v>0</v>
      </c>
      <c r="CD95" s="44">
        <f t="shared" si="64"/>
        <v>0</v>
      </c>
      <c r="CE95" s="46">
        <f t="shared" si="42"/>
        <v>0.65071710007492811</v>
      </c>
      <c r="CF95" s="44">
        <f t="shared" si="68"/>
        <v>688276862</v>
      </c>
      <c r="CG95" s="115">
        <f>+'[5]Acuerdo PLAN INVERSIÓN 2021'!$H$6320+'[5]Acuerdo PLAN INVERSIÓN 2021'!$H$6350+'[5]Acuerdo PLAN INVERSIÓN 2021'!$H$6385</f>
        <v>137984667</v>
      </c>
      <c r="CH95" s="115">
        <f>+'[5]Acuerdo PLAN INVERSIÓN 2021'!$H$6190-CG95-CJ95-CW95-DC95</f>
        <v>240679663</v>
      </c>
      <c r="CI95" s="115"/>
      <c r="CJ95" s="115">
        <f>+'[5]Acuerdo PLAN INVERSIÓN 2021'!$H$6242+'[5]Acuerdo PLAN INVERSIÓN 2021'!$H$6392+'[5]Acuerdo PLAN INVERSIÓN 2021'!$H$6397+'[5]Acuerdo PLAN INVERSIÓN 2021'!$H$6402+'[5]Acuerdo PLAN INVERSIÓN 2021'!$H$6405+'[5]Acuerdo PLAN INVERSIÓN 2021'!$H$6408+'[5]Acuerdo PLAN INVERSIÓN 2021'!$H$6411+'[5]Acuerdo PLAN INVERSIÓN 2021'!$H$6435+'[5]Acuerdo PLAN INVERSIÓN 2021'!$H$6440+'[5]Acuerdo PLAN INVERSIÓN 2021'!$H$6443+'[5]Acuerdo PLAN INVERSIÓN 2021'!$H$6446</f>
        <v>152485132</v>
      </c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+'[5]Acuerdo PLAN INVERSIÓN 2021'!$H$6219+'[5]Acuerdo PLAN INVERSIÓN 2021'!$H$6228+'[5]Acuerdo PLAN INVERSIÓN 2021'!$H$6271+'[5]Acuerdo PLAN INVERSIÓN 2021'!$H$6345</f>
        <v>147264000</v>
      </c>
      <c r="CX95" s="115"/>
      <c r="CY95" s="115"/>
      <c r="CZ95" s="115"/>
      <c r="DA95" s="115"/>
      <c r="DB95" s="115"/>
      <c r="DC95" s="115">
        <f>+'[5]Acuerdo PLAN INVERSIÓN 2021'!$H$6382</f>
        <v>9863400</v>
      </c>
      <c r="DD95" s="46">
        <f t="shared" si="54"/>
        <v>0.34928289992507189</v>
      </c>
      <c r="DE95" s="44">
        <f t="shared" si="44"/>
        <v>369443708</v>
      </c>
      <c r="DF95" s="44">
        <f t="shared" si="70"/>
        <v>104215333</v>
      </c>
      <c r="DG95" s="44">
        <f t="shared" si="70"/>
        <v>7799295</v>
      </c>
      <c r="DH95" s="44">
        <f t="shared" si="70"/>
        <v>0</v>
      </c>
      <c r="DI95" s="44">
        <f t="shared" si="70"/>
        <v>253035438</v>
      </c>
      <c r="DJ95" s="44">
        <f t="shared" si="70"/>
        <v>0</v>
      </c>
      <c r="DK95" s="44">
        <f t="shared" si="70"/>
        <v>0</v>
      </c>
      <c r="DL95" s="44">
        <f t="shared" si="70"/>
        <v>0</v>
      </c>
      <c r="DM95" s="44">
        <f t="shared" si="70"/>
        <v>0</v>
      </c>
      <c r="DN95" s="44">
        <f t="shared" si="70"/>
        <v>0</v>
      </c>
      <c r="DO95" s="44">
        <f t="shared" si="70"/>
        <v>0</v>
      </c>
      <c r="DP95" s="44">
        <f t="shared" si="70"/>
        <v>0</v>
      </c>
      <c r="DQ95" s="44">
        <f t="shared" si="70"/>
        <v>0</v>
      </c>
      <c r="DR95" s="44">
        <f t="shared" si="70"/>
        <v>0</v>
      </c>
      <c r="DS95" s="44">
        <f t="shared" si="70"/>
        <v>0</v>
      </c>
      <c r="DT95" s="44">
        <f t="shared" si="70"/>
        <v>0</v>
      </c>
      <c r="DU95" s="44">
        <f>+Y95-CV95</f>
        <v>0</v>
      </c>
      <c r="DV95" s="44">
        <f t="shared" si="66"/>
        <v>4257042</v>
      </c>
      <c r="DW95" s="44">
        <f t="shared" si="66"/>
        <v>0</v>
      </c>
      <c r="DX95" s="44">
        <f t="shared" si="66"/>
        <v>0</v>
      </c>
      <c r="DY95" s="44">
        <f t="shared" si="66"/>
        <v>0</v>
      </c>
      <c r="DZ95" s="44">
        <f t="shared" si="66"/>
        <v>0</v>
      </c>
      <c r="EA95" s="44">
        <f t="shared" si="66"/>
        <v>0</v>
      </c>
      <c r="EB95" s="44">
        <f t="shared" si="66"/>
        <v>136600</v>
      </c>
    </row>
    <row r="96" spans="1:132" ht="25.5" customHeight="1" x14ac:dyDescent="0.25">
      <c r="A96" s="116"/>
      <c r="B96" s="117"/>
      <c r="C96" s="83" t="s">
        <v>283</v>
      </c>
      <c r="D96" s="114" t="s">
        <v>284</v>
      </c>
      <c r="E96" s="42">
        <v>301</v>
      </c>
      <c r="F96" s="43" t="s">
        <v>240</v>
      </c>
      <c r="G96" s="44">
        <f t="shared" si="61"/>
        <v>292233877</v>
      </c>
      <c r="H96" s="45">
        <v>200000000</v>
      </c>
      <c r="I96" s="45">
        <f t="shared" si="67"/>
        <v>-92233877</v>
      </c>
      <c r="J96" s="115">
        <f>92642826+72233333</f>
        <v>164876159</v>
      </c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120000000</v>
      </c>
      <c r="AA96" s="115">
        <v>7357718</v>
      </c>
      <c r="AB96" s="115"/>
      <c r="AC96" s="44"/>
      <c r="AD96" s="115"/>
      <c r="AE96" s="115"/>
      <c r="AF96" s="115"/>
      <c r="AG96" s="46">
        <f t="shared" si="53"/>
        <v>1</v>
      </c>
      <c r="AH96" s="44">
        <f t="shared" si="38"/>
        <v>292233877</v>
      </c>
      <c r="AI96" s="115">
        <f>+'[1]Acuerdo PLAN INVERSIÓN 2021'!$L$4657</f>
        <v>164876159</v>
      </c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+'[4]Acuerdo PLAN INVERSIÓN 2021'!$AA$2726</f>
        <v>120000000</v>
      </c>
      <c r="AZ96" s="115">
        <f>+'[4]Acuerdo PLAN INVERSIÓN 2021'!$X$2726</f>
        <v>7357718</v>
      </c>
      <c r="BA96" s="115"/>
      <c r="BB96" s="115"/>
      <c r="BC96" s="115"/>
      <c r="BD96" s="115"/>
      <c r="BE96" s="115"/>
      <c r="BF96" s="46">
        <f t="shared" si="55"/>
        <v>0</v>
      </c>
      <c r="BG96" s="44">
        <f t="shared" si="62"/>
        <v>0</v>
      </c>
      <c r="BH96" s="44">
        <f t="shared" si="69"/>
        <v>0</v>
      </c>
      <c r="BI96" s="44">
        <f t="shared" si="69"/>
        <v>0</v>
      </c>
      <c r="BJ96" s="44">
        <f t="shared" si="69"/>
        <v>0</v>
      </c>
      <c r="BK96" s="44">
        <f t="shared" si="69"/>
        <v>0</v>
      </c>
      <c r="BL96" s="44">
        <f t="shared" si="69"/>
        <v>0</v>
      </c>
      <c r="BM96" s="44">
        <f t="shared" si="69"/>
        <v>0</v>
      </c>
      <c r="BN96" s="44">
        <f t="shared" si="69"/>
        <v>0</v>
      </c>
      <c r="BO96" s="44">
        <f t="shared" si="69"/>
        <v>0</v>
      </c>
      <c r="BP96" s="44">
        <f t="shared" si="69"/>
        <v>0</v>
      </c>
      <c r="BQ96" s="44">
        <f t="shared" si="69"/>
        <v>0</v>
      </c>
      <c r="BR96" s="44">
        <f t="shared" si="69"/>
        <v>0</v>
      </c>
      <c r="BS96" s="44">
        <f t="shared" si="69"/>
        <v>0</v>
      </c>
      <c r="BT96" s="44">
        <f t="shared" si="69"/>
        <v>0</v>
      </c>
      <c r="BU96" s="44">
        <f t="shared" si="69"/>
        <v>0</v>
      </c>
      <c r="BV96" s="44">
        <f t="shared" si="69"/>
        <v>0</v>
      </c>
      <c r="BW96" s="44">
        <f>+Y96-AX96</f>
        <v>0</v>
      </c>
      <c r="BX96" s="44">
        <f t="shared" si="64"/>
        <v>0</v>
      </c>
      <c r="BY96" s="44">
        <f t="shared" si="64"/>
        <v>0</v>
      </c>
      <c r="BZ96" s="44">
        <f t="shared" si="64"/>
        <v>0</v>
      </c>
      <c r="CA96" s="44">
        <f t="shared" si="64"/>
        <v>0</v>
      </c>
      <c r="CB96" s="44">
        <f t="shared" si="64"/>
        <v>0</v>
      </c>
      <c r="CC96" s="44">
        <f t="shared" si="64"/>
        <v>0</v>
      </c>
      <c r="CD96" s="44">
        <f t="shared" si="64"/>
        <v>0</v>
      </c>
      <c r="CE96" s="46">
        <f t="shared" si="42"/>
        <v>0.76828874976736528</v>
      </c>
      <c r="CF96" s="44">
        <f t="shared" si="68"/>
        <v>224520000</v>
      </c>
      <c r="CG96" s="115">
        <f>+'[5]Acuerdo PLAN INVERSIÓN 2021'!$H$6451-CW96-CX96</f>
        <v>109256667</v>
      </c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+'[5]Acuerdo PLAN INVERSIÓN 2021'!$H$6454+'[5]Acuerdo PLAN INVERSIÓN 2021'!$H$6464+'[5]Acuerdo PLAN INVERSIÓN 2021'!$H$6478</f>
        <v>109443333</v>
      </c>
      <c r="CX96" s="115">
        <f>+'[5]Acuerdo PLAN INVERSIÓN 2021'!$H$6481</f>
        <v>5820000</v>
      </c>
      <c r="CY96" s="115"/>
      <c r="CZ96" s="115"/>
      <c r="DA96" s="115"/>
      <c r="DB96" s="115"/>
      <c r="DC96" s="115"/>
      <c r="DD96" s="46">
        <f t="shared" si="54"/>
        <v>0.23171125023263472</v>
      </c>
      <c r="DE96" s="44">
        <f t="shared" si="44"/>
        <v>67713877</v>
      </c>
      <c r="DF96" s="44">
        <f t="shared" si="70"/>
        <v>55619492</v>
      </c>
      <c r="DG96" s="44">
        <f t="shared" si="70"/>
        <v>0</v>
      </c>
      <c r="DH96" s="44">
        <f t="shared" si="70"/>
        <v>0</v>
      </c>
      <c r="DI96" s="44">
        <f t="shared" si="70"/>
        <v>0</v>
      </c>
      <c r="DJ96" s="44">
        <f t="shared" si="70"/>
        <v>0</v>
      </c>
      <c r="DK96" s="44">
        <f t="shared" si="70"/>
        <v>0</v>
      </c>
      <c r="DL96" s="44">
        <f t="shared" si="70"/>
        <v>0</v>
      </c>
      <c r="DM96" s="44">
        <f t="shared" si="70"/>
        <v>0</v>
      </c>
      <c r="DN96" s="44">
        <f t="shared" si="70"/>
        <v>0</v>
      </c>
      <c r="DO96" s="44">
        <f t="shared" si="70"/>
        <v>0</v>
      </c>
      <c r="DP96" s="44">
        <f t="shared" si="70"/>
        <v>0</v>
      </c>
      <c r="DQ96" s="44">
        <f t="shared" si="70"/>
        <v>0</v>
      </c>
      <c r="DR96" s="44">
        <f t="shared" si="70"/>
        <v>0</v>
      </c>
      <c r="DS96" s="44">
        <f t="shared" si="70"/>
        <v>0</v>
      </c>
      <c r="DT96" s="44">
        <f t="shared" si="70"/>
        <v>0</v>
      </c>
      <c r="DU96" s="44">
        <f>+Y96-CV96</f>
        <v>0</v>
      </c>
      <c r="DV96" s="44">
        <f t="shared" si="66"/>
        <v>10556667</v>
      </c>
      <c r="DW96" s="44">
        <f t="shared" si="66"/>
        <v>1537718</v>
      </c>
      <c r="DX96" s="44">
        <f t="shared" si="66"/>
        <v>0</v>
      </c>
      <c r="DY96" s="44">
        <f t="shared" si="66"/>
        <v>0</v>
      </c>
      <c r="DZ96" s="44">
        <f t="shared" si="66"/>
        <v>0</v>
      </c>
      <c r="EA96" s="44">
        <f t="shared" si="66"/>
        <v>0</v>
      </c>
      <c r="EB96" s="44">
        <f t="shared" si="66"/>
        <v>0</v>
      </c>
    </row>
    <row r="97" spans="1:132" s="74" customFormat="1" ht="21" customHeight="1" thickBot="1" x14ac:dyDescent="0.3">
      <c r="A97" s="102"/>
      <c r="B97" s="118" t="s">
        <v>285</v>
      </c>
      <c r="C97" s="119"/>
      <c r="D97" s="119"/>
      <c r="E97" s="119"/>
      <c r="F97" s="120"/>
      <c r="G97" s="92">
        <f t="shared" ref="G97:AF97" si="71">SUM(G78:G96)</f>
        <v>4618928674</v>
      </c>
      <c r="H97" s="92">
        <f t="shared" si="71"/>
        <v>4682573500</v>
      </c>
      <c r="I97" s="92">
        <f t="shared" si="71"/>
        <v>63644826</v>
      </c>
      <c r="J97" s="92">
        <f t="shared" si="71"/>
        <v>1124229659</v>
      </c>
      <c r="K97" s="92">
        <f t="shared" si="71"/>
        <v>248478958</v>
      </c>
      <c r="L97" s="92">
        <f t="shared" si="71"/>
        <v>24243035</v>
      </c>
      <c r="M97" s="92">
        <f t="shared" si="71"/>
        <v>405520570</v>
      </c>
      <c r="N97" s="92">
        <f t="shared" si="71"/>
        <v>0</v>
      </c>
      <c r="O97" s="92">
        <f t="shared" si="71"/>
        <v>0</v>
      </c>
      <c r="P97" s="92">
        <f t="shared" si="71"/>
        <v>0</v>
      </c>
      <c r="Q97" s="92">
        <f t="shared" si="71"/>
        <v>0</v>
      </c>
      <c r="R97" s="92">
        <f t="shared" si="71"/>
        <v>0</v>
      </c>
      <c r="S97" s="92">
        <f t="shared" si="71"/>
        <v>0</v>
      </c>
      <c r="T97" s="92">
        <f t="shared" si="71"/>
        <v>0</v>
      </c>
      <c r="U97" s="92">
        <f t="shared" si="71"/>
        <v>0</v>
      </c>
      <c r="V97" s="92">
        <f t="shared" si="71"/>
        <v>0</v>
      </c>
      <c r="W97" s="92">
        <f t="shared" si="71"/>
        <v>0</v>
      </c>
      <c r="X97" s="92">
        <f t="shared" si="71"/>
        <v>0</v>
      </c>
      <c r="Y97" s="92">
        <f t="shared" si="71"/>
        <v>0</v>
      </c>
      <c r="Z97" s="92">
        <f t="shared" si="71"/>
        <v>456521042</v>
      </c>
      <c r="AA97" s="92">
        <f t="shared" si="71"/>
        <v>549500000</v>
      </c>
      <c r="AB97" s="92">
        <f t="shared" si="71"/>
        <v>0</v>
      </c>
      <c r="AC97" s="92">
        <f t="shared" si="71"/>
        <v>1729072560</v>
      </c>
      <c r="AD97" s="92">
        <f t="shared" si="71"/>
        <v>0</v>
      </c>
      <c r="AE97" s="92">
        <f t="shared" si="71"/>
        <v>0</v>
      </c>
      <c r="AF97" s="92">
        <f t="shared" si="71"/>
        <v>81362850</v>
      </c>
      <c r="AG97" s="73">
        <f t="shared" si="53"/>
        <v>0.59613135628168823</v>
      </c>
      <c r="AH97" s="92">
        <f>SUM(AH78:AH96)</f>
        <v>2753488215</v>
      </c>
      <c r="AI97" s="92">
        <f>SUM(AI78:AI96)</f>
        <v>470602826</v>
      </c>
      <c r="AJ97" s="92">
        <f>SUM(AJ78:AJ96)</f>
        <v>241138335</v>
      </c>
      <c r="AK97" s="92">
        <f>SUM(AK78:AK96)</f>
        <v>2000000</v>
      </c>
      <c r="AL97" s="92">
        <f>SUM(AL78:AL96)</f>
        <v>191740697</v>
      </c>
      <c r="AM97" s="92">
        <f t="shared" ref="AM97:BE97" si="72">SUM(AM78:AM96)</f>
        <v>0</v>
      </c>
      <c r="AN97" s="92">
        <f t="shared" si="72"/>
        <v>0</v>
      </c>
      <c r="AO97" s="92">
        <f t="shared" si="72"/>
        <v>0</v>
      </c>
      <c r="AP97" s="92">
        <f t="shared" si="72"/>
        <v>0</v>
      </c>
      <c r="AQ97" s="92">
        <f t="shared" si="72"/>
        <v>0</v>
      </c>
      <c r="AR97" s="92">
        <f t="shared" si="72"/>
        <v>0</v>
      </c>
      <c r="AS97" s="92">
        <f t="shared" si="72"/>
        <v>0</v>
      </c>
      <c r="AT97" s="92">
        <f t="shared" si="72"/>
        <v>0</v>
      </c>
      <c r="AU97" s="92">
        <f t="shared" si="72"/>
        <v>0</v>
      </c>
      <c r="AV97" s="92">
        <f t="shared" si="72"/>
        <v>0</v>
      </c>
      <c r="AW97" s="92">
        <f t="shared" si="72"/>
        <v>0</v>
      </c>
      <c r="AX97" s="92">
        <f t="shared" si="72"/>
        <v>0</v>
      </c>
      <c r="AY97" s="92">
        <f t="shared" si="72"/>
        <v>402845000</v>
      </c>
      <c r="AZ97" s="92">
        <f t="shared" si="72"/>
        <v>313939058</v>
      </c>
      <c r="BA97" s="92">
        <f t="shared" si="72"/>
        <v>0</v>
      </c>
      <c r="BB97" s="92">
        <f t="shared" si="72"/>
        <v>1052859449</v>
      </c>
      <c r="BC97" s="92">
        <f t="shared" si="72"/>
        <v>0</v>
      </c>
      <c r="BD97" s="92">
        <f t="shared" si="72"/>
        <v>0</v>
      </c>
      <c r="BE97" s="92">
        <f t="shared" si="72"/>
        <v>78362850</v>
      </c>
      <c r="BF97" s="71">
        <f t="shared" si="55"/>
        <v>0.40386864371831177</v>
      </c>
      <c r="BG97" s="92">
        <f t="shared" ref="BG97:CD97" si="73">SUM(BG78:BG96)</f>
        <v>1865440459</v>
      </c>
      <c r="BH97" s="92">
        <f t="shared" si="73"/>
        <v>653626833</v>
      </c>
      <c r="BI97" s="92">
        <f t="shared" si="73"/>
        <v>7340623</v>
      </c>
      <c r="BJ97" s="92">
        <f t="shared" si="73"/>
        <v>22243035</v>
      </c>
      <c r="BK97" s="92">
        <f t="shared" si="73"/>
        <v>213779873</v>
      </c>
      <c r="BL97" s="92">
        <f t="shared" si="73"/>
        <v>0</v>
      </c>
      <c r="BM97" s="92">
        <f t="shared" si="73"/>
        <v>0</v>
      </c>
      <c r="BN97" s="92">
        <f t="shared" si="73"/>
        <v>0</v>
      </c>
      <c r="BO97" s="92">
        <f t="shared" si="73"/>
        <v>0</v>
      </c>
      <c r="BP97" s="92">
        <f t="shared" si="73"/>
        <v>0</v>
      </c>
      <c r="BQ97" s="92">
        <f t="shared" si="73"/>
        <v>0</v>
      </c>
      <c r="BR97" s="92">
        <f t="shared" si="73"/>
        <v>0</v>
      </c>
      <c r="BS97" s="92">
        <f t="shared" si="73"/>
        <v>0</v>
      </c>
      <c r="BT97" s="92">
        <f t="shared" si="73"/>
        <v>0</v>
      </c>
      <c r="BU97" s="92">
        <f t="shared" si="73"/>
        <v>0</v>
      </c>
      <c r="BV97" s="92">
        <f t="shared" si="73"/>
        <v>0</v>
      </c>
      <c r="BW97" s="92">
        <f t="shared" si="73"/>
        <v>0</v>
      </c>
      <c r="BX97" s="92">
        <f t="shared" si="73"/>
        <v>53676042</v>
      </c>
      <c r="BY97" s="92">
        <f t="shared" si="73"/>
        <v>235560942</v>
      </c>
      <c r="BZ97" s="92">
        <f t="shared" si="73"/>
        <v>0</v>
      </c>
      <c r="CA97" s="92">
        <f t="shared" si="73"/>
        <v>676213111</v>
      </c>
      <c r="CB97" s="92">
        <f t="shared" si="73"/>
        <v>0</v>
      </c>
      <c r="CC97" s="92">
        <f t="shared" si="73"/>
        <v>0</v>
      </c>
      <c r="CD97" s="92">
        <f t="shared" si="73"/>
        <v>3000000</v>
      </c>
      <c r="CE97" s="71">
        <f t="shared" si="42"/>
        <v>0.46415093743878844</v>
      </c>
      <c r="CF97" s="92">
        <f>SUM(CF78:CF96)</f>
        <v>2143880074</v>
      </c>
      <c r="CG97" s="92">
        <f>SUM(CG78:CG96)</f>
        <v>340401333</v>
      </c>
      <c r="CH97" s="92">
        <f t="shared" ref="CH97:DB97" si="74">SUM(CH78:CH96)</f>
        <v>240679663</v>
      </c>
      <c r="CI97" s="92">
        <f t="shared" si="74"/>
        <v>2000000</v>
      </c>
      <c r="CJ97" s="92">
        <f t="shared" si="74"/>
        <v>152485132</v>
      </c>
      <c r="CK97" s="92">
        <f t="shared" si="74"/>
        <v>0</v>
      </c>
      <c r="CL97" s="92">
        <f t="shared" si="74"/>
        <v>0</v>
      </c>
      <c r="CM97" s="92">
        <f t="shared" si="74"/>
        <v>0</v>
      </c>
      <c r="CN97" s="92">
        <f t="shared" si="74"/>
        <v>0</v>
      </c>
      <c r="CO97" s="92">
        <f t="shared" si="74"/>
        <v>0</v>
      </c>
      <c r="CP97" s="92">
        <f t="shared" si="74"/>
        <v>0</v>
      </c>
      <c r="CQ97" s="92">
        <f t="shared" si="74"/>
        <v>0</v>
      </c>
      <c r="CR97" s="92">
        <f t="shared" si="74"/>
        <v>0</v>
      </c>
      <c r="CS97" s="92">
        <f t="shared" si="74"/>
        <v>0</v>
      </c>
      <c r="CT97" s="92">
        <f t="shared" si="74"/>
        <v>0</v>
      </c>
      <c r="CU97" s="92">
        <f t="shared" si="74"/>
        <v>0</v>
      </c>
      <c r="CV97" s="92">
        <f t="shared" si="74"/>
        <v>0</v>
      </c>
      <c r="CW97" s="92">
        <f>SUM(CW78:CW96)</f>
        <v>372027329</v>
      </c>
      <c r="CX97" s="92">
        <f t="shared" si="74"/>
        <v>139093830</v>
      </c>
      <c r="CY97" s="92">
        <f>SUM(CY78:CY96)</f>
        <v>0</v>
      </c>
      <c r="CZ97" s="92">
        <f t="shared" si="74"/>
        <v>829578631</v>
      </c>
      <c r="DA97" s="92">
        <f t="shared" si="74"/>
        <v>0</v>
      </c>
      <c r="DB97" s="92">
        <f t="shared" si="74"/>
        <v>0</v>
      </c>
      <c r="DC97" s="92">
        <f>SUM(DC78:DC96)</f>
        <v>67614156</v>
      </c>
      <c r="DD97" s="73">
        <f t="shared" si="54"/>
        <v>0.53584906256121156</v>
      </c>
      <c r="DE97" s="92">
        <f t="shared" ref="DE97:EB97" si="75">SUM(DE78:DE96)</f>
        <v>2475048600</v>
      </c>
      <c r="DF97" s="92">
        <f t="shared" si="75"/>
        <v>783828326</v>
      </c>
      <c r="DG97" s="92">
        <f t="shared" si="75"/>
        <v>7799295</v>
      </c>
      <c r="DH97" s="92">
        <f t="shared" si="75"/>
        <v>22243035</v>
      </c>
      <c r="DI97" s="92">
        <f t="shared" si="75"/>
        <v>253035438</v>
      </c>
      <c r="DJ97" s="92">
        <f t="shared" si="75"/>
        <v>0</v>
      </c>
      <c r="DK97" s="92">
        <f t="shared" si="75"/>
        <v>0</v>
      </c>
      <c r="DL97" s="92">
        <f t="shared" si="75"/>
        <v>0</v>
      </c>
      <c r="DM97" s="92">
        <f t="shared" si="75"/>
        <v>0</v>
      </c>
      <c r="DN97" s="92">
        <f t="shared" si="75"/>
        <v>0</v>
      </c>
      <c r="DO97" s="92">
        <f t="shared" si="75"/>
        <v>0</v>
      </c>
      <c r="DP97" s="92">
        <f t="shared" si="75"/>
        <v>0</v>
      </c>
      <c r="DQ97" s="92">
        <f t="shared" si="75"/>
        <v>0</v>
      </c>
      <c r="DR97" s="92">
        <f t="shared" si="75"/>
        <v>0</v>
      </c>
      <c r="DS97" s="92">
        <f t="shared" si="75"/>
        <v>0</v>
      </c>
      <c r="DT97" s="92">
        <f t="shared" si="75"/>
        <v>0</v>
      </c>
      <c r="DU97" s="92">
        <f t="shared" si="75"/>
        <v>0</v>
      </c>
      <c r="DV97" s="92">
        <f t="shared" si="75"/>
        <v>84493713</v>
      </c>
      <c r="DW97" s="92">
        <f t="shared" si="75"/>
        <v>410406170</v>
      </c>
      <c r="DX97" s="92">
        <f t="shared" si="75"/>
        <v>0</v>
      </c>
      <c r="DY97" s="92">
        <f t="shared" si="75"/>
        <v>899493929</v>
      </c>
      <c r="DZ97" s="92">
        <f t="shared" si="75"/>
        <v>0</v>
      </c>
      <c r="EA97" s="92">
        <f t="shared" si="75"/>
        <v>0</v>
      </c>
      <c r="EB97" s="92">
        <f t="shared" si="75"/>
        <v>13748694</v>
      </c>
    </row>
    <row r="98" spans="1:132" ht="20.45" customHeight="1" thickTop="1" x14ac:dyDescent="0.25">
      <c r="A98" s="50"/>
      <c r="B98" s="121" t="s">
        <v>286</v>
      </c>
      <c r="C98" s="83" t="s">
        <v>287</v>
      </c>
      <c r="D98" s="41" t="s">
        <v>288</v>
      </c>
      <c r="E98" s="122">
        <v>111</v>
      </c>
      <c r="F98" s="43" t="s">
        <v>240</v>
      </c>
      <c r="G98" s="44">
        <f t="shared" ref="G98:G128" si="76">SUM(J98:AF98)</f>
        <v>10598461344</v>
      </c>
      <c r="H98" s="45">
        <v>2559000000</v>
      </c>
      <c r="I98" s="45">
        <f>H98-G98</f>
        <v>-8039461344</v>
      </c>
      <c r="J98" s="44">
        <v>434799132</v>
      </c>
      <c r="K98" s="115"/>
      <c r="L98" s="44"/>
      <c r="M98" s="44">
        <f>1072500000+565035267</f>
        <v>1637535267</v>
      </c>
      <c r="N98" s="44">
        <v>6856843769</v>
      </c>
      <c r="O98" s="44"/>
      <c r="P98" s="44"/>
      <c r="Q98" s="44">
        <v>510290626</v>
      </c>
      <c r="R98" s="44">
        <v>223474173</v>
      </c>
      <c r="S98" s="44"/>
      <c r="T98" s="44">
        <v>412659033</v>
      </c>
      <c r="U98" s="44"/>
      <c r="V98" s="44"/>
      <c r="W98" s="44">
        <v>188082849</v>
      </c>
      <c r="X98" s="44">
        <v>290776495</v>
      </c>
      <c r="Y98" s="44"/>
      <c r="Z98" s="44"/>
      <c r="AA98" s="44"/>
      <c r="AB98" s="44"/>
      <c r="AC98" s="44"/>
      <c r="AD98" s="44"/>
      <c r="AE98" s="44"/>
      <c r="AF98" s="44">
        <f>44000000</f>
        <v>44000000</v>
      </c>
      <c r="AG98" s="79">
        <f t="shared" si="53"/>
        <v>0.84538823515852413</v>
      </c>
      <c r="AH98" s="44">
        <f t="shared" si="38"/>
        <v>8959814531</v>
      </c>
      <c r="AI98" s="44">
        <f>+'[7]Acuerdo PLAN INVERSIÓN 2021'!$L$2277</f>
        <v>434799132</v>
      </c>
      <c r="AJ98" s="44"/>
      <c r="AK98" s="44"/>
      <c r="AL98" s="44">
        <f>+'[5]Acuerdo PLAN INVERSIÓN 2021'!$M$6502</f>
        <v>565034867</v>
      </c>
      <c r="AM98" s="44">
        <f>+'[7]Acuerdo PLAN INVERSIÓN 2021'!$N$2277</f>
        <v>6855066956</v>
      </c>
      <c r="AN98" s="44"/>
      <c r="AO98" s="44"/>
      <c r="AP98" s="44">
        <v>510290626</v>
      </c>
      <c r="AQ98" s="44"/>
      <c r="AR98" s="44"/>
      <c r="AS98" s="44">
        <f>+'[5]Acuerdo PLAN INVERSIÓN 2021'!$V$6502</f>
        <v>252195455</v>
      </c>
      <c r="AT98" s="44"/>
      <c r="AU98" s="44"/>
      <c r="AV98" s="44">
        <f>+'[2]Acuerdo PLAN INVERSIÓN 2021'!$R$3870</f>
        <v>51651000</v>
      </c>
      <c r="AW98" s="44">
        <f>+'[2]Acuerdo PLAN INVERSIÓN 2021'!$Q$3870</f>
        <v>290776495</v>
      </c>
      <c r="AX98" s="44"/>
      <c r="AY98" s="44"/>
      <c r="AZ98" s="44"/>
      <c r="BA98" s="44"/>
      <c r="BB98" s="44"/>
      <c r="BC98" s="44"/>
      <c r="BD98" s="44"/>
      <c r="BE98" s="44"/>
      <c r="BF98" s="46">
        <f t="shared" si="55"/>
        <v>0.15461176484147587</v>
      </c>
      <c r="BG98" s="44">
        <f t="shared" si="62"/>
        <v>1638646813</v>
      </c>
      <c r="BH98" s="44">
        <f t="shared" ref="BH98:BW113" si="77">+J98-AI98</f>
        <v>0</v>
      </c>
      <c r="BI98" s="44">
        <f t="shared" si="77"/>
        <v>0</v>
      </c>
      <c r="BJ98" s="44">
        <f t="shared" si="77"/>
        <v>0</v>
      </c>
      <c r="BK98" s="44">
        <f t="shared" si="77"/>
        <v>1072500400</v>
      </c>
      <c r="BL98" s="44">
        <f t="shared" si="77"/>
        <v>1776813</v>
      </c>
      <c r="BM98" s="44">
        <f t="shared" si="77"/>
        <v>0</v>
      </c>
      <c r="BN98" s="44">
        <f t="shared" si="77"/>
        <v>0</v>
      </c>
      <c r="BO98" s="44">
        <f t="shared" si="77"/>
        <v>0</v>
      </c>
      <c r="BP98" s="44">
        <f t="shared" si="77"/>
        <v>223474173</v>
      </c>
      <c r="BQ98" s="44">
        <f t="shared" si="77"/>
        <v>0</v>
      </c>
      <c r="BR98" s="44">
        <f t="shared" si="77"/>
        <v>160463578</v>
      </c>
      <c r="BS98" s="44">
        <f t="shared" si="77"/>
        <v>0</v>
      </c>
      <c r="BT98" s="44">
        <f t="shared" si="77"/>
        <v>0</v>
      </c>
      <c r="BU98" s="44">
        <f t="shared" si="77"/>
        <v>136431849</v>
      </c>
      <c r="BV98" s="44">
        <f t="shared" si="77"/>
        <v>0</v>
      </c>
      <c r="BW98" s="44">
        <f t="shared" si="77"/>
        <v>0</v>
      </c>
      <c r="BX98" s="44">
        <f t="shared" ref="BX98:CD128" si="78">+Z98-AY98</f>
        <v>0</v>
      </c>
      <c r="BY98" s="44">
        <f t="shared" si="78"/>
        <v>0</v>
      </c>
      <c r="BZ98" s="44">
        <f t="shared" si="78"/>
        <v>0</v>
      </c>
      <c r="CA98" s="44">
        <f t="shared" si="78"/>
        <v>0</v>
      </c>
      <c r="CB98" s="44">
        <f t="shared" si="78"/>
        <v>0</v>
      </c>
      <c r="CC98" s="44">
        <f t="shared" si="78"/>
        <v>0</v>
      </c>
      <c r="CD98" s="44">
        <f t="shared" si="78"/>
        <v>44000000</v>
      </c>
      <c r="CE98" s="79">
        <f t="shared" si="42"/>
        <v>0.73993417152383212</v>
      </c>
      <c r="CF98" s="44">
        <f t="shared" si="43"/>
        <v>7842163714</v>
      </c>
      <c r="CG98" s="44">
        <f>+'[7]Acuerdo PLAN INVERSIÓN 2021'!$H$2281</f>
        <v>434799132</v>
      </c>
      <c r="CH98" s="44"/>
      <c r="CI98" s="44"/>
      <c r="CJ98" s="44"/>
      <c r="CK98" s="44">
        <f>+'[7]Acuerdo PLAN INVERSIÓN 2021'!$H$2278</f>
        <v>6855066956</v>
      </c>
      <c r="CL98" s="44"/>
      <c r="CM98" s="44"/>
      <c r="CN98" s="44">
        <v>510290626</v>
      </c>
      <c r="CO98" s="44"/>
      <c r="CP98" s="44"/>
      <c r="CQ98" s="44"/>
      <c r="CR98" s="44"/>
      <c r="CS98" s="44"/>
      <c r="CT98" s="44">
        <f>+'[2]Acuerdo PLAN INVERSIÓN 2021'!$H$3880</f>
        <v>42007000</v>
      </c>
      <c r="CU98" s="44"/>
      <c r="CV98" s="44"/>
      <c r="CW98" s="44"/>
      <c r="CX98" s="44"/>
      <c r="CY98" s="44"/>
      <c r="CZ98" s="44"/>
      <c r="DA98" s="44"/>
      <c r="DB98" s="44"/>
      <c r="DC98" s="44"/>
      <c r="DD98" s="46">
        <f t="shared" si="54"/>
        <v>0.26006582847616788</v>
      </c>
      <c r="DE98" s="44">
        <f t="shared" ref="DE98:DE128" si="79">SUM(DF98:EB98)</f>
        <v>2756297630</v>
      </c>
      <c r="DF98" s="44">
        <f t="shared" ref="DF98:DU113" si="80">+J98-CG98</f>
        <v>0</v>
      </c>
      <c r="DG98" s="44">
        <f t="shared" si="80"/>
        <v>0</v>
      </c>
      <c r="DH98" s="44">
        <f t="shared" si="80"/>
        <v>0</v>
      </c>
      <c r="DI98" s="44">
        <f t="shared" si="80"/>
        <v>1637535267</v>
      </c>
      <c r="DJ98" s="44">
        <f t="shared" si="80"/>
        <v>1776813</v>
      </c>
      <c r="DK98" s="44">
        <f t="shared" si="80"/>
        <v>0</v>
      </c>
      <c r="DL98" s="44">
        <f t="shared" si="80"/>
        <v>0</v>
      </c>
      <c r="DM98" s="44">
        <f t="shared" si="80"/>
        <v>0</v>
      </c>
      <c r="DN98" s="44">
        <f t="shared" si="80"/>
        <v>223474173</v>
      </c>
      <c r="DO98" s="44">
        <f t="shared" si="80"/>
        <v>0</v>
      </c>
      <c r="DP98" s="44">
        <f t="shared" si="80"/>
        <v>412659033</v>
      </c>
      <c r="DQ98" s="44">
        <f t="shared" si="80"/>
        <v>0</v>
      </c>
      <c r="DR98" s="44">
        <f t="shared" si="80"/>
        <v>0</v>
      </c>
      <c r="DS98" s="44">
        <f t="shared" si="80"/>
        <v>146075849</v>
      </c>
      <c r="DT98" s="44">
        <f t="shared" si="80"/>
        <v>290776495</v>
      </c>
      <c r="DU98" s="44">
        <f t="shared" si="80"/>
        <v>0</v>
      </c>
      <c r="DV98" s="44">
        <f t="shared" ref="DV98:EB128" si="81">+Z98-CW98</f>
        <v>0</v>
      </c>
      <c r="DW98" s="44">
        <f t="shared" si="81"/>
        <v>0</v>
      </c>
      <c r="DX98" s="44">
        <f t="shared" si="81"/>
        <v>0</v>
      </c>
      <c r="DY98" s="44">
        <f t="shared" si="81"/>
        <v>0</v>
      </c>
      <c r="DZ98" s="44">
        <f t="shared" si="81"/>
        <v>0</v>
      </c>
      <c r="EA98" s="44">
        <f t="shared" si="81"/>
        <v>0</v>
      </c>
      <c r="EB98" s="44">
        <f t="shared" si="81"/>
        <v>44000000</v>
      </c>
    </row>
    <row r="99" spans="1:132" s="125" customFormat="1" ht="19.899999999999999" customHeight="1" x14ac:dyDescent="0.25">
      <c r="A99" s="50"/>
      <c r="B99" s="121"/>
      <c r="C99" s="83" t="s">
        <v>289</v>
      </c>
      <c r="D99" s="41" t="s">
        <v>290</v>
      </c>
      <c r="E99" s="123">
        <v>111</v>
      </c>
      <c r="F99" s="43" t="s">
        <v>240</v>
      </c>
      <c r="G99" s="44">
        <f t="shared" si="76"/>
        <v>426445085</v>
      </c>
      <c r="H99" s="45">
        <v>500136000</v>
      </c>
      <c r="I99" s="45">
        <f t="shared" ref="I99:I128" si="82">H99-G99</f>
        <v>73690915</v>
      </c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>
        <v>426445085</v>
      </c>
      <c r="X99" s="44"/>
      <c r="Y99" s="44"/>
      <c r="Z99" s="44"/>
      <c r="AA99" s="44"/>
      <c r="AB99" s="44"/>
      <c r="AC99" s="44"/>
      <c r="AD99" s="44"/>
      <c r="AE99" s="44"/>
      <c r="AF99" s="44"/>
      <c r="AG99" s="46">
        <f t="shared" si="53"/>
        <v>0</v>
      </c>
      <c r="AH99" s="44">
        <f t="shared" si="38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6">
        <f t="shared" si="55"/>
        <v>1</v>
      </c>
      <c r="BG99" s="44">
        <f t="shared" si="62"/>
        <v>426445085</v>
      </c>
      <c r="BH99" s="44">
        <f t="shared" si="77"/>
        <v>0</v>
      </c>
      <c r="BI99" s="44">
        <f t="shared" si="77"/>
        <v>0</v>
      </c>
      <c r="BJ99" s="44">
        <f t="shared" si="77"/>
        <v>0</v>
      </c>
      <c r="BK99" s="44">
        <f t="shared" si="77"/>
        <v>0</v>
      </c>
      <c r="BL99" s="44">
        <f t="shared" si="77"/>
        <v>0</v>
      </c>
      <c r="BM99" s="44">
        <f t="shared" si="77"/>
        <v>0</v>
      </c>
      <c r="BN99" s="44">
        <f t="shared" si="77"/>
        <v>0</v>
      </c>
      <c r="BO99" s="44">
        <f t="shared" si="77"/>
        <v>0</v>
      </c>
      <c r="BP99" s="44">
        <f t="shared" si="77"/>
        <v>0</v>
      </c>
      <c r="BQ99" s="44">
        <f t="shared" si="77"/>
        <v>0</v>
      </c>
      <c r="BR99" s="44">
        <f t="shared" si="77"/>
        <v>0</v>
      </c>
      <c r="BS99" s="44">
        <f t="shared" si="77"/>
        <v>0</v>
      </c>
      <c r="BT99" s="44">
        <f t="shared" si="77"/>
        <v>0</v>
      </c>
      <c r="BU99" s="44">
        <f t="shared" si="77"/>
        <v>426445085</v>
      </c>
      <c r="BV99" s="44">
        <f t="shared" si="77"/>
        <v>0</v>
      </c>
      <c r="BW99" s="44">
        <f t="shared" si="77"/>
        <v>0</v>
      </c>
      <c r="BX99" s="44">
        <f t="shared" si="78"/>
        <v>0</v>
      </c>
      <c r="BY99" s="44">
        <f t="shared" si="78"/>
        <v>0</v>
      </c>
      <c r="BZ99" s="44">
        <f t="shared" si="78"/>
        <v>0</v>
      </c>
      <c r="CA99" s="44">
        <f t="shared" si="78"/>
        <v>0</v>
      </c>
      <c r="CB99" s="44">
        <f t="shared" si="78"/>
        <v>0</v>
      </c>
      <c r="CC99" s="44">
        <f t="shared" si="78"/>
        <v>0</v>
      </c>
      <c r="CD99" s="44">
        <f t="shared" si="78"/>
        <v>0</v>
      </c>
      <c r="CE99" s="46">
        <f t="shared" si="42"/>
        <v>0</v>
      </c>
      <c r="CF99" s="44">
        <f t="shared" si="43"/>
        <v>0</v>
      </c>
      <c r="CG99" s="124"/>
      <c r="CH99" s="124"/>
      <c r="CI99" s="124"/>
      <c r="CJ99" s="124"/>
      <c r="CK99" s="124"/>
      <c r="CL99" s="124"/>
      <c r="CM99" s="124"/>
      <c r="CN99" s="44"/>
      <c r="CO99" s="4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6">
        <f t="shared" si="54"/>
        <v>1</v>
      </c>
      <c r="DE99" s="44">
        <f t="shared" si="79"/>
        <v>426445085</v>
      </c>
      <c r="DF99" s="44">
        <f t="shared" si="80"/>
        <v>0</v>
      </c>
      <c r="DG99" s="44">
        <f t="shared" si="80"/>
        <v>0</v>
      </c>
      <c r="DH99" s="44">
        <f t="shared" si="80"/>
        <v>0</v>
      </c>
      <c r="DI99" s="44">
        <f t="shared" si="80"/>
        <v>0</v>
      </c>
      <c r="DJ99" s="44">
        <f t="shared" si="80"/>
        <v>0</v>
      </c>
      <c r="DK99" s="44">
        <f t="shared" si="80"/>
        <v>0</v>
      </c>
      <c r="DL99" s="44">
        <f t="shared" si="80"/>
        <v>0</v>
      </c>
      <c r="DM99" s="44">
        <f t="shared" si="80"/>
        <v>0</v>
      </c>
      <c r="DN99" s="44">
        <f t="shared" si="80"/>
        <v>0</v>
      </c>
      <c r="DO99" s="44">
        <f t="shared" si="80"/>
        <v>0</v>
      </c>
      <c r="DP99" s="44">
        <f t="shared" si="80"/>
        <v>0</v>
      </c>
      <c r="DQ99" s="44">
        <f t="shared" si="80"/>
        <v>0</v>
      </c>
      <c r="DR99" s="44">
        <f t="shared" si="80"/>
        <v>0</v>
      </c>
      <c r="DS99" s="44">
        <f t="shared" si="80"/>
        <v>426445085</v>
      </c>
      <c r="DT99" s="44">
        <f t="shared" si="80"/>
        <v>0</v>
      </c>
      <c r="DU99" s="44">
        <f t="shared" si="80"/>
        <v>0</v>
      </c>
      <c r="DV99" s="44">
        <f t="shared" si="81"/>
        <v>0</v>
      </c>
      <c r="DW99" s="44">
        <f t="shared" si="81"/>
        <v>0</v>
      </c>
      <c r="DX99" s="44">
        <f t="shared" si="81"/>
        <v>0</v>
      </c>
      <c r="DY99" s="44">
        <f t="shared" si="81"/>
        <v>0</v>
      </c>
      <c r="DZ99" s="44">
        <f t="shared" si="81"/>
        <v>0</v>
      </c>
      <c r="EA99" s="44">
        <f t="shared" si="81"/>
        <v>0</v>
      </c>
      <c r="EB99" s="44">
        <f t="shared" si="81"/>
        <v>0</v>
      </c>
    </row>
    <row r="100" spans="1:132" ht="19.899999999999999" customHeight="1" x14ac:dyDescent="0.25">
      <c r="A100" s="50"/>
      <c r="B100" s="121"/>
      <c r="C100" s="83" t="s">
        <v>291</v>
      </c>
      <c r="D100" s="41" t="s">
        <v>292</v>
      </c>
      <c r="E100" s="123">
        <v>111</v>
      </c>
      <c r="F100" s="43" t="s">
        <v>240</v>
      </c>
      <c r="G100" s="44">
        <f t="shared" si="76"/>
        <v>5000000</v>
      </c>
      <c r="H100" s="45">
        <v>350000000</v>
      </c>
      <c r="I100" s="45">
        <f t="shared" si="82"/>
        <v>345000000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>
        <f>5000000</f>
        <v>5000000</v>
      </c>
      <c r="AG100" s="46">
        <f t="shared" si="53"/>
        <v>1</v>
      </c>
      <c r="AH100" s="44">
        <f t="shared" si="38"/>
        <v>5000000</v>
      </c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>
        <f>+'[4]Acuerdo PLAN INVERSIÓN 2021'!$G$2770</f>
        <v>5000000</v>
      </c>
      <c r="BF100" s="46">
        <f t="shared" si="55"/>
        <v>0</v>
      </c>
      <c r="BG100" s="44">
        <f t="shared" si="62"/>
        <v>0</v>
      </c>
      <c r="BH100" s="44">
        <f t="shared" si="77"/>
        <v>0</v>
      </c>
      <c r="BI100" s="44">
        <f t="shared" si="77"/>
        <v>0</v>
      </c>
      <c r="BJ100" s="44">
        <f t="shared" si="77"/>
        <v>0</v>
      </c>
      <c r="BK100" s="44">
        <f t="shared" si="77"/>
        <v>0</v>
      </c>
      <c r="BL100" s="44">
        <f t="shared" si="77"/>
        <v>0</v>
      </c>
      <c r="BM100" s="44">
        <f t="shared" si="77"/>
        <v>0</v>
      </c>
      <c r="BN100" s="44">
        <f t="shared" si="77"/>
        <v>0</v>
      </c>
      <c r="BO100" s="44">
        <f t="shared" si="77"/>
        <v>0</v>
      </c>
      <c r="BP100" s="44">
        <f t="shared" si="77"/>
        <v>0</v>
      </c>
      <c r="BQ100" s="44">
        <f t="shared" si="77"/>
        <v>0</v>
      </c>
      <c r="BR100" s="44">
        <f t="shared" si="77"/>
        <v>0</v>
      </c>
      <c r="BS100" s="44">
        <f t="shared" si="77"/>
        <v>0</v>
      </c>
      <c r="BT100" s="44">
        <f t="shared" si="77"/>
        <v>0</v>
      </c>
      <c r="BU100" s="44">
        <f t="shared" si="77"/>
        <v>0</v>
      </c>
      <c r="BV100" s="44">
        <f t="shared" si="77"/>
        <v>0</v>
      </c>
      <c r="BW100" s="44">
        <f t="shared" si="77"/>
        <v>0</v>
      </c>
      <c r="BX100" s="44">
        <f t="shared" si="78"/>
        <v>0</v>
      </c>
      <c r="BY100" s="44">
        <f t="shared" si="78"/>
        <v>0</v>
      </c>
      <c r="BZ100" s="44">
        <f t="shared" si="78"/>
        <v>0</v>
      </c>
      <c r="CA100" s="44">
        <f t="shared" si="78"/>
        <v>0</v>
      </c>
      <c r="CB100" s="44">
        <f t="shared" si="78"/>
        <v>0</v>
      </c>
      <c r="CC100" s="44">
        <f t="shared" si="78"/>
        <v>0</v>
      </c>
      <c r="CD100" s="44">
        <f t="shared" si="78"/>
        <v>0</v>
      </c>
      <c r="CE100" s="46">
        <f t="shared" si="42"/>
        <v>0.99641999999999997</v>
      </c>
      <c r="CF100" s="44">
        <f t="shared" si="43"/>
        <v>4982100</v>
      </c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124">
        <f>+'[2]Acuerdo PLAN INVERSIÓN 2021'!$H$3892</f>
        <v>4982100</v>
      </c>
      <c r="DD100" s="46">
        <f t="shared" si="54"/>
        <v>3.5800000000000276E-3</v>
      </c>
      <c r="DE100" s="44">
        <f t="shared" si="79"/>
        <v>17900</v>
      </c>
      <c r="DF100" s="44">
        <f t="shared" si="80"/>
        <v>0</v>
      </c>
      <c r="DG100" s="44">
        <f t="shared" si="80"/>
        <v>0</v>
      </c>
      <c r="DH100" s="44">
        <f t="shared" si="80"/>
        <v>0</v>
      </c>
      <c r="DI100" s="44">
        <f t="shared" si="80"/>
        <v>0</v>
      </c>
      <c r="DJ100" s="44">
        <f t="shared" si="80"/>
        <v>0</v>
      </c>
      <c r="DK100" s="44">
        <f t="shared" si="80"/>
        <v>0</v>
      </c>
      <c r="DL100" s="44">
        <f t="shared" si="80"/>
        <v>0</v>
      </c>
      <c r="DM100" s="44">
        <f t="shared" si="80"/>
        <v>0</v>
      </c>
      <c r="DN100" s="44">
        <f t="shared" si="80"/>
        <v>0</v>
      </c>
      <c r="DO100" s="44">
        <f t="shared" si="80"/>
        <v>0</v>
      </c>
      <c r="DP100" s="44">
        <f t="shared" si="80"/>
        <v>0</v>
      </c>
      <c r="DQ100" s="44">
        <f t="shared" si="80"/>
        <v>0</v>
      </c>
      <c r="DR100" s="44">
        <f t="shared" si="80"/>
        <v>0</v>
      </c>
      <c r="DS100" s="44">
        <f t="shared" si="80"/>
        <v>0</v>
      </c>
      <c r="DT100" s="44">
        <f t="shared" si="80"/>
        <v>0</v>
      </c>
      <c r="DU100" s="44">
        <f t="shared" si="80"/>
        <v>0</v>
      </c>
      <c r="DV100" s="44">
        <f t="shared" si="81"/>
        <v>0</v>
      </c>
      <c r="DW100" s="44">
        <f t="shared" si="81"/>
        <v>0</v>
      </c>
      <c r="DX100" s="44">
        <f t="shared" si="81"/>
        <v>0</v>
      </c>
      <c r="DY100" s="44">
        <f t="shared" si="81"/>
        <v>0</v>
      </c>
      <c r="DZ100" s="44">
        <f t="shared" si="81"/>
        <v>0</v>
      </c>
      <c r="EA100" s="44">
        <f t="shared" si="81"/>
        <v>0</v>
      </c>
      <c r="EB100" s="44">
        <f t="shared" si="81"/>
        <v>17900</v>
      </c>
    </row>
    <row r="101" spans="1:132" ht="28.5" customHeight="1" x14ac:dyDescent="0.25">
      <c r="A101" s="50"/>
      <c r="B101" s="121"/>
      <c r="C101" s="83" t="s">
        <v>293</v>
      </c>
      <c r="D101" s="99" t="s">
        <v>294</v>
      </c>
      <c r="E101" s="123">
        <v>111</v>
      </c>
      <c r="F101" s="43" t="s">
        <v>295</v>
      </c>
      <c r="G101" s="44">
        <f t="shared" si="76"/>
        <v>3186726279</v>
      </c>
      <c r="H101" s="45">
        <v>100000000</v>
      </c>
      <c r="I101" s="45">
        <f t="shared" si="82"/>
        <v>-3086726279</v>
      </c>
      <c r="J101" s="44"/>
      <c r="K101" s="115">
        <f>21492594+22519000</f>
        <v>44011594</v>
      </c>
      <c r="L101" s="44"/>
      <c r="M101" s="44">
        <f>1835637612+125185079</f>
        <v>1960822691</v>
      </c>
      <c r="N101" s="44"/>
      <c r="O101" s="44"/>
      <c r="P101" s="44"/>
      <c r="Q101" s="44"/>
      <c r="R101" s="44">
        <f>336385230+33606591</f>
        <v>369991821</v>
      </c>
      <c r="S101" s="44">
        <f>50000000+50000000</f>
        <v>100000000</v>
      </c>
      <c r="T101" s="44"/>
      <c r="U101" s="44"/>
      <c r="V101" s="44">
        <f>72000000+82630269</f>
        <v>154630269</v>
      </c>
      <c r="W101" s="44"/>
      <c r="X101" s="44"/>
      <c r="Y101" s="44"/>
      <c r="Z101" s="44"/>
      <c r="AA101" s="44">
        <v>404000000</v>
      </c>
      <c r="AB101" s="44"/>
      <c r="AC101" s="44"/>
      <c r="AD101" s="44"/>
      <c r="AE101" s="44">
        <f>123846638-36000000-10000000</f>
        <v>77846638</v>
      </c>
      <c r="AF101" s="44">
        <f>15000000+20000000+30000000+25000000-14576734</f>
        <v>75423266</v>
      </c>
      <c r="AG101" s="46">
        <f t="shared" si="53"/>
        <v>0.32338502675648223</v>
      </c>
      <c r="AH101" s="44">
        <f t="shared" si="38"/>
        <v>1030539563</v>
      </c>
      <c r="AI101" s="44"/>
      <c r="AJ101" s="44">
        <f>+'[5]Acuerdo PLAN INVERSIÓN 2021'!$J$6546</f>
        <v>44011594</v>
      </c>
      <c r="AK101" s="44"/>
      <c r="AL101" s="44">
        <f>+'[5]Acuerdo PLAN INVERSIÓN 2021'!$M$6546</f>
        <v>437431833</v>
      </c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>
        <f>+'[5]Acuerdo PLAN INVERSIÓN 2021'!$X$6546</f>
        <v>403999498</v>
      </c>
      <c r="BA101" s="44"/>
      <c r="BB101" s="44"/>
      <c r="BC101" s="44"/>
      <c r="BD101" s="44">
        <f>+'[1]Acuerdo PLAN INVERSIÓN 2021'!$AE$4742</f>
        <v>77846638</v>
      </c>
      <c r="BE101" s="44">
        <f>+'[6]Acuerdo PLAN INVERSIÓN 2021'!$AF$5647</f>
        <v>67250000</v>
      </c>
      <c r="BF101" s="46">
        <f t="shared" si="55"/>
        <v>0.67661497324351783</v>
      </c>
      <c r="BG101" s="44">
        <f t="shared" si="62"/>
        <v>2156186716</v>
      </c>
      <c r="BH101" s="44">
        <f t="shared" si="77"/>
        <v>0</v>
      </c>
      <c r="BI101" s="44">
        <f t="shared" si="77"/>
        <v>0</v>
      </c>
      <c r="BJ101" s="44">
        <f t="shared" si="77"/>
        <v>0</v>
      </c>
      <c r="BK101" s="44">
        <f t="shared" si="77"/>
        <v>1523390858</v>
      </c>
      <c r="BL101" s="44">
        <f t="shared" si="77"/>
        <v>0</v>
      </c>
      <c r="BM101" s="44">
        <f t="shared" si="77"/>
        <v>0</v>
      </c>
      <c r="BN101" s="44">
        <f t="shared" si="77"/>
        <v>0</v>
      </c>
      <c r="BO101" s="44">
        <f t="shared" si="77"/>
        <v>0</v>
      </c>
      <c r="BP101" s="44">
        <f t="shared" si="77"/>
        <v>369991821</v>
      </c>
      <c r="BQ101" s="44">
        <f t="shared" si="77"/>
        <v>100000000</v>
      </c>
      <c r="BR101" s="44">
        <f t="shared" si="77"/>
        <v>0</v>
      </c>
      <c r="BS101" s="44">
        <f t="shared" si="77"/>
        <v>0</v>
      </c>
      <c r="BT101" s="44">
        <f t="shared" si="77"/>
        <v>154630269</v>
      </c>
      <c r="BU101" s="44">
        <f t="shared" si="77"/>
        <v>0</v>
      </c>
      <c r="BV101" s="44">
        <f t="shared" si="77"/>
        <v>0</v>
      </c>
      <c r="BW101" s="44">
        <f t="shared" si="77"/>
        <v>0</v>
      </c>
      <c r="BX101" s="44">
        <f t="shared" si="78"/>
        <v>0</v>
      </c>
      <c r="BY101" s="44">
        <f t="shared" si="78"/>
        <v>502</v>
      </c>
      <c r="BZ101" s="44">
        <f t="shared" si="78"/>
        <v>0</v>
      </c>
      <c r="CA101" s="44">
        <f t="shared" si="78"/>
        <v>0</v>
      </c>
      <c r="CB101" s="44">
        <f t="shared" si="78"/>
        <v>0</v>
      </c>
      <c r="CC101" s="44">
        <f t="shared" si="78"/>
        <v>0</v>
      </c>
      <c r="CD101" s="44">
        <f t="shared" si="78"/>
        <v>8173266</v>
      </c>
      <c r="CE101" s="46">
        <f t="shared" si="42"/>
        <v>0.11892244291496615</v>
      </c>
      <c r="CF101" s="44">
        <f t="shared" si="43"/>
        <v>378973274</v>
      </c>
      <c r="CG101" s="44"/>
      <c r="CH101" s="44"/>
      <c r="CI101" s="44"/>
      <c r="CJ101" s="44">
        <f>+'[5]Acuerdo PLAN INVERSIÓN 2021'!$H$6559</f>
        <v>334123055</v>
      </c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>
        <f>+'[5]Acuerdo PLAN INVERSIÓN 2021'!$H$6554</f>
        <v>13021449</v>
      </c>
      <c r="CY101" s="44"/>
      <c r="CZ101" s="44"/>
      <c r="DA101" s="44"/>
      <c r="DB101" s="44"/>
      <c r="DC101" s="44">
        <f>+'[5]Acuerdo PLAN INVERSIÓN 2021'!$H$6551+'[5]Acuerdo PLAN INVERSIÓN 2021'!$H$6562+'[5]Acuerdo PLAN INVERSIÓN 2021'!$H$6565+'[5]Acuerdo PLAN INVERSIÓN 2021'!$H$6568+'[5]Acuerdo PLAN INVERSIÓN 2021'!$H$6573+'[5]Acuerdo PLAN INVERSIÓN 2021'!$H$6576</f>
        <v>31828770</v>
      </c>
      <c r="DD101" s="46">
        <f t="shared" si="54"/>
        <v>0.88107755708503388</v>
      </c>
      <c r="DE101" s="44">
        <f t="shared" si="79"/>
        <v>2807753005</v>
      </c>
      <c r="DF101" s="44">
        <f t="shared" si="80"/>
        <v>0</v>
      </c>
      <c r="DG101" s="44">
        <f t="shared" si="80"/>
        <v>44011594</v>
      </c>
      <c r="DH101" s="44">
        <f t="shared" si="80"/>
        <v>0</v>
      </c>
      <c r="DI101" s="44">
        <f t="shared" si="80"/>
        <v>1626699636</v>
      </c>
      <c r="DJ101" s="44">
        <f t="shared" si="80"/>
        <v>0</v>
      </c>
      <c r="DK101" s="44">
        <f t="shared" si="80"/>
        <v>0</v>
      </c>
      <c r="DL101" s="44">
        <f t="shared" si="80"/>
        <v>0</v>
      </c>
      <c r="DM101" s="44">
        <f t="shared" si="80"/>
        <v>0</v>
      </c>
      <c r="DN101" s="44">
        <f t="shared" si="80"/>
        <v>369991821</v>
      </c>
      <c r="DO101" s="44">
        <f t="shared" si="80"/>
        <v>100000000</v>
      </c>
      <c r="DP101" s="44">
        <f t="shared" si="80"/>
        <v>0</v>
      </c>
      <c r="DQ101" s="44">
        <f t="shared" si="80"/>
        <v>0</v>
      </c>
      <c r="DR101" s="44">
        <f t="shared" si="80"/>
        <v>154630269</v>
      </c>
      <c r="DS101" s="44">
        <f t="shared" si="80"/>
        <v>0</v>
      </c>
      <c r="DT101" s="44">
        <f t="shared" si="80"/>
        <v>0</v>
      </c>
      <c r="DU101" s="44">
        <f t="shared" si="80"/>
        <v>0</v>
      </c>
      <c r="DV101" s="44">
        <f t="shared" si="81"/>
        <v>0</v>
      </c>
      <c r="DW101" s="44">
        <f t="shared" si="81"/>
        <v>390978551</v>
      </c>
      <c r="DX101" s="44">
        <f t="shared" si="81"/>
        <v>0</v>
      </c>
      <c r="DY101" s="44">
        <f t="shared" si="81"/>
        <v>0</v>
      </c>
      <c r="DZ101" s="44">
        <f t="shared" si="81"/>
        <v>0</v>
      </c>
      <c r="EA101" s="44">
        <f t="shared" si="81"/>
        <v>77846638</v>
      </c>
      <c r="EB101" s="44">
        <f t="shared" si="81"/>
        <v>43594496</v>
      </c>
    </row>
    <row r="102" spans="1:132" s="125" customFormat="1" ht="24" customHeight="1" x14ac:dyDescent="0.25">
      <c r="A102" s="50"/>
      <c r="B102" s="121"/>
      <c r="C102" s="83" t="s">
        <v>296</v>
      </c>
      <c r="D102" s="54" t="s">
        <v>297</v>
      </c>
      <c r="E102" s="123">
        <v>111</v>
      </c>
      <c r="F102" s="43" t="s">
        <v>240</v>
      </c>
      <c r="G102" s="44">
        <f t="shared" si="76"/>
        <v>727408031</v>
      </c>
      <c r="H102" s="45">
        <v>300000000</v>
      </c>
      <c r="I102" s="45">
        <f t="shared" si="82"/>
        <v>-427408031</v>
      </c>
      <c r="J102" s="78"/>
      <c r="K102" s="44">
        <v>19660000</v>
      </c>
      <c r="L102" s="44"/>
      <c r="M102" s="44">
        <f>110000000+346362801</f>
        <v>456362801</v>
      </c>
      <c r="N102" s="44"/>
      <c r="O102" s="44"/>
      <c r="P102" s="44"/>
      <c r="Q102" s="44"/>
      <c r="R102" s="44"/>
      <c r="S102" s="44"/>
      <c r="T102" s="44">
        <v>251385230</v>
      </c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6">
        <f t="shared" si="53"/>
        <v>0.7952691135465344</v>
      </c>
      <c r="AH102" s="44">
        <f t="shared" si="38"/>
        <v>578485140</v>
      </c>
      <c r="AI102" s="124"/>
      <c r="AJ102" s="124">
        <f>+'[6]Acuerdo PLAN INVERSIÓN 2021'!$J$5684</f>
        <v>19660000</v>
      </c>
      <c r="AK102" s="124"/>
      <c r="AL102" s="124">
        <f>+'[6]Acuerdo PLAN INVERSIÓN 2021'!$M$5684</f>
        <v>456362491</v>
      </c>
      <c r="AM102" s="124"/>
      <c r="AN102" s="124"/>
      <c r="AO102" s="124"/>
      <c r="AP102" s="124"/>
      <c r="AQ102" s="124"/>
      <c r="AR102" s="124"/>
      <c r="AS102" s="124">
        <f>+'[6]Acuerdo PLAN INVERSIÓN 2021'!$V$5684</f>
        <v>102462649</v>
      </c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6">
        <f t="shared" si="55"/>
        <v>0.2047308864534656</v>
      </c>
      <c r="BG102" s="44">
        <f t="shared" si="62"/>
        <v>148922891</v>
      </c>
      <c r="BH102" s="44">
        <f t="shared" si="77"/>
        <v>0</v>
      </c>
      <c r="BI102" s="44">
        <f t="shared" si="77"/>
        <v>0</v>
      </c>
      <c r="BJ102" s="44">
        <f t="shared" si="77"/>
        <v>0</v>
      </c>
      <c r="BK102" s="44">
        <f t="shared" si="77"/>
        <v>310</v>
      </c>
      <c r="BL102" s="44">
        <f t="shared" si="77"/>
        <v>0</v>
      </c>
      <c r="BM102" s="44">
        <f t="shared" si="77"/>
        <v>0</v>
      </c>
      <c r="BN102" s="44">
        <f t="shared" si="77"/>
        <v>0</v>
      </c>
      <c r="BO102" s="44">
        <f t="shared" si="77"/>
        <v>0</v>
      </c>
      <c r="BP102" s="44">
        <f t="shared" si="77"/>
        <v>0</v>
      </c>
      <c r="BQ102" s="44">
        <f t="shared" si="77"/>
        <v>0</v>
      </c>
      <c r="BR102" s="44">
        <f t="shared" si="77"/>
        <v>148922581</v>
      </c>
      <c r="BS102" s="44">
        <f t="shared" si="77"/>
        <v>0</v>
      </c>
      <c r="BT102" s="44">
        <f t="shared" si="77"/>
        <v>0</v>
      </c>
      <c r="BU102" s="44">
        <f t="shared" si="77"/>
        <v>0</v>
      </c>
      <c r="BV102" s="44">
        <f t="shared" si="77"/>
        <v>0</v>
      </c>
      <c r="BW102" s="44">
        <f t="shared" si="77"/>
        <v>0</v>
      </c>
      <c r="BX102" s="44">
        <f t="shared" si="78"/>
        <v>0</v>
      </c>
      <c r="BY102" s="44">
        <f t="shared" si="78"/>
        <v>0</v>
      </c>
      <c r="BZ102" s="44">
        <f t="shared" si="78"/>
        <v>0</v>
      </c>
      <c r="CA102" s="44">
        <f t="shared" si="78"/>
        <v>0</v>
      </c>
      <c r="CB102" s="44">
        <f t="shared" si="78"/>
        <v>0</v>
      </c>
      <c r="CC102" s="44">
        <f t="shared" si="78"/>
        <v>0</v>
      </c>
      <c r="CD102" s="44">
        <f t="shared" si="78"/>
        <v>0</v>
      </c>
      <c r="CE102" s="46">
        <f t="shared" si="42"/>
        <v>0.19729648819343321</v>
      </c>
      <c r="CF102" s="44">
        <f t="shared" si="43"/>
        <v>143515050</v>
      </c>
      <c r="CG102" s="124"/>
      <c r="CH102" s="124"/>
      <c r="CI102" s="124"/>
      <c r="CJ102" s="124">
        <f>+'[5]Acuerdo PLAN INVERSIÓN 2021'!$H$6600</f>
        <v>143515050</v>
      </c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6">
        <f t="shared" si="54"/>
        <v>0.80270351180656685</v>
      </c>
      <c r="DE102" s="44">
        <f t="shared" si="79"/>
        <v>583892981</v>
      </c>
      <c r="DF102" s="44">
        <f t="shared" si="80"/>
        <v>0</v>
      </c>
      <c r="DG102" s="44">
        <f t="shared" si="80"/>
        <v>19660000</v>
      </c>
      <c r="DH102" s="44">
        <f t="shared" si="80"/>
        <v>0</v>
      </c>
      <c r="DI102" s="44">
        <f t="shared" si="80"/>
        <v>312847751</v>
      </c>
      <c r="DJ102" s="44">
        <f t="shared" si="80"/>
        <v>0</v>
      </c>
      <c r="DK102" s="44">
        <f t="shared" si="80"/>
        <v>0</v>
      </c>
      <c r="DL102" s="44">
        <f t="shared" si="80"/>
        <v>0</v>
      </c>
      <c r="DM102" s="44">
        <f t="shared" si="80"/>
        <v>0</v>
      </c>
      <c r="DN102" s="44">
        <f t="shared" si="80"/>
        <v>0</v>
      </c>
      <c r="DO102" s="44">
        <f t="shared" si="80"/>
        <v>0</v>
      </c>
      <c r="DP102" s="44">
        <f t="shared" si="80"/>
        <v>251385230</v>
      </c>
      <c r="DQ102" s="44">
        <f t="shared" si="80"/>
        <v>0</v>
      </c>
      <c r="DR102" s="44">
        <f t="shared" si="80"/>
        <v>0</v>
      </c>
      <c r="DS102" s="44">
        <f t="shared" si="80"/>
        <v>0</v>
      </c>
      <c r="DT102" s="44">
        <f t="shared" si="80"/>
        <v>0</v>
      </c>
      <c r="DU102" s="44">
        <f t="shared" si="80"/>
        <v>0</v>
      </c>
      <c r="DV102" s="44">
        <f t="shared" si="81"/>
        <v>0</v>
      </c>
      <c r="DW102" s="44">
        <f t="shared" si="81"/>
        <v>0</v>
      </c>
      <c r="DX102" s="44">
        <f t="shared" si="81"/>
        <v>0</v>
      </c>
      <c r="DY102" s="44">
        <f t="shared" si="81"/>
        <v>0</v>
      </c>
      <c r="DZ102" s="44">
        <f t="shared" si="81"/>
        <v>0</v>
      </c>
      <c r="EA102" s="44">
        <f t="shared" si="81"/>
        <v>0</v>
      </c>
      <c r="EB102" s="44">
        <f t="shared" si="81"/>
        <v>0</v>
      </c>
    </row>
    <row r="103" spans="1:132" ht="36" customHeight="1" x14ac:dyDescent="0.25">
      <c r="A103" s="50"/>
      <c r="B103" s="121" t="s">
        <v>298</v>
      </c>
      <c r="C103" s="83" t="s">
        <v>299</v>
      </c>
      <c r="D103" s="41" t="s">
        <v>300</v>
      </c>
      <c r="E103" s="122">
        <v>211</v>
      </c>
      <c r="F103" s="43" t="s">
        <v>301</v>
      </c>
      <c r="G103" s="44">
        <f t="shared" si="76"/>
        <v>1526755245</v>
      </c>
      <c r="H103" s="45">
        <v>1200000000</v>
      </c>
      <c r="I103" s="45">
        <f t="shared" si="82"/>
        <v>-326755245</v>
      </c>
      <c r="J103" s="44"/>
      <c r="K103" s="44">
        <f>50000000</f>
        <v>50000000</v>
      </c>
      <c r="L103" s="44"/>
      <c r="M103" s="126">
        <f>27498356+721081879</f>
        <v>748580235</v>
      </c>
      <c r="N103" s="44"/>
      <c r="O103" s="44"/>
      <c r="P103" s="44"/>
      <c r="Q103" s="44">
        <f>65000000+50000000</f>
        <v>115000000</v>
      </c>
      <c r="R103" s="44"/>
      <c r="S103" s="44">
        <f>61385230+85161559</f>
        <v>146546789</v>
      </c>
      <c r="T103" s="44">
        <v>70000000</v>
      </c>
      <c r="U103" s="44">
        <v>266250</v>
      </c>
      <c r="V103" s="44"/>
      <c r="W103" s="44">
        <v>76223671</v>
      </c>
      <c r="X103" s="44">
        <v>10997954</v>
      </c>
      <c r="Y103" s="44"/>
      <c r="Z103" s="44"/>
      <c r="AA103" s="44">
        <v>56600000</v>
      </c>
      <c r="AB103" s="44"/>
      <c r="AC103" s="44"/>
      <c r="AD103" s="44"/>
      <c r="AE103" s="44">
        <f>954549+36000000+10000000</f>
        <v>46954549</v>
      </c>
      <c r="AF103" s="44">
        <f>110000000+70591405+4994392+20000000</f>
        <v>205585797</v>
      </c>
      <c r="AG103" s="46">
        <f t="shared" si="53"/>
        <v>0.38402999951704769</v>
      </c>
      <c r="AH103" s="44">
        <f t="shared" si="38"/>
        <v>586319816</v>
      </c>
      <c r="AI103" s="44"/>
      <c r="AJ103" s="44">
        <f>+'[5]Acuerdo PLAN INVERSIÓN 2021'!$J$6612</f>
        <v>50000000</v>
      </c>
      <c r="AK103" s="44"/>
      <c r="AL103" s="44">
        <f>+'[5]Acuerdo PLAN INVERSIÓN 2021'!$M$6612</f>
        <v>444413875</v>
      </c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>
        <f>+'[5]Acuerdo PLAN INVERSIÓN 2021'!$AE$6612</f>
        <v>46954549</v>
      </c>
      <c r="BE103" s="124">
        <f>+'[5]Acuerdo PLAN INVERSIÓN 2021'!$AF$6612</f>
        <v>44951392</v>
      </c>
      <c r="BF103" s="46">
        <f t="shared" si="55"/>
        <v>0.61597000048295225</v>
      </c>
      <c r="BG103" s="44">
        <f t="shared" si="62"/>
        <v>940435429</v>
      </c>
      <c r="BH103" s="44">
        <f t="shared" si="77"/>
        <v>0</v>
      </c>
      <c r="BI103" s="44">
        <f t="shared" si="77"/>
        <v>0</v>
      </c>
      <c r="BJ103" s="44">
        <f t="shared" si="77"/>
        <v>0</v>
      </c>
      <c r="BK103" s="44">
        <f t="shared" si="77"/>
        <v>304166360</v>
      </c>
      <c r="BL103" s="44">
        <f t="shared" si="77"/>
        <v>0</v>
      </c>
      <c r="BM103" s="44">
        <f t="shared" si="77"/>
        <v>0</v>
      </c>
      <c r="BN103" s="44">
        <f t="shared" si="77"/>
        <v>0</v>
      </c>
      <c r="BO103" s="44">
        <f t="shared" si="77"/>
        <v>115000000</v>
      </c>
      <c r="BP103" s="44">
        <f t="shared" si="77"/>
        <v>0</v>
      </c>
      <c r="BQ103" s="44">
        <f t="shared" si="77"/>
        <v>146546789</v>
      </c>
      <c r="BR103" s="44">
        <f t="shared" si="77"/>
        <v>70000000</v>
      </c>
      <c r="BS103" s="44">
        <f t="shared" si="77"/>
        <v>266250</v>
      </c>
      <c r="BT103" s="44">
        <f t="shared" si="77"/>
        <v>0</v>
      </c>
      <c r="BU103" s="44">
        <f t="shared" si="77"/>
        <v>76223671</v>
      </c>
      <c r="BV103" s="44">
        <f t="shared" si="77"/>
        <v>10997954</v>
      </c>
      <c r="BW103" s="44">
        <f t="shared" si="77"/>
        <v>0</v>
      </c>
      <c r="BX103" s="44">
        <f t="shared" si="78"/>
        <v>0</v>
      </c>
      <c r="BY103" s="44">
        <f t="shared" si="78"/>
        <v>56600000</v>
      </c>
      <c r="BZ103" s="44">
        <f t="shared" si="78"/>
        <v>0</v>
      </c>
      <c r="CA103" s="44">
        <f t="shared" si="78"/>
        <v>0</v>
      </c>
      <c r="CB103" s="44">
        <f t="shared" si="78"/>
        <v>0</v>
      </c>
      <c r="CC103" s="44">
        <f t="shared" si="78"/>
        <v>0</v>
      </c>
      <c r="CD103" s="44">
        <f t="shared" si="78"/>
        <v>160634405</v>
      </c>
      <c r="CE103" s="46">
        <f t="shared" si="42"/>
        <v>4.4009526883924344E-2</v>
      </c>
      <c r="CF103" s="44">
        <f t="shared" si="43"/>
        <v>67191776</v>
      </c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>
        <f>+'[5]Acuerdo PLAN INVERSIÓN 2021'!$H$6624+'[5]Acuerdo PLAN INVERSIÓN 2021'!$H$6627+'[5]Acuerdo PLAN INVERSIÓN 2021'!$H$6632+'[5]Acuerdo PLAN INVERSIÓN 2021'!$H$6635</f>
        <v>44817066</v>
      </c>
      <c r="DC103" s="44">
        <f>+'[5]Acuerdo PLAN INVERSIÓN 2021'!$H$6613+'[5]Acuerdo PLAN INVERSIÓN 2021'!$H$6616+'[5]Acuerdo PLAN INVERSIÓN 2021'!$H$6621</f>
        <v>22374710</v>
      </c>
      <c r="DD103" s="46">
        <f t="shared" si="54"/>
        <v>0.95599047311607566</v>
      </c>
      <c r="DE103" s="44">
        <f t="shared" si="79"/>
        <v>1459563469</v>
      </c>
      <c r="DF103" s="44">
        <f t="shared" si="80"/>
        <v>0</v>
      </c>
      <c r="DG103" s="44">
        <f t="shared" si="80"/>
        <v>50000000</v>
      </c>
      <c r="DH103" s="44">
        <f t="shared" si="80"/>
        <v>0</v>
      </c>
      <c r="DI103" s="44">
        <f t="shared" si="80"/>
        <v>748580235</v>
      </c>
      <c r="DJ103" s="44">
        <f t="shared" si="80"/>
        <v>0</v>
      </c>
      <c r="DK103" s="44">
        <f t="shared" si="80"/>
        <v>0</v>
      </c>
      <c r="DL103" s="44">
        <f t="shared" si="80"/>
        <v>0</v>
      </c>
      <c r="DM103" s="44">
        <f t="shared" si="80"/>
        <v>115000000</v>
      </c>
      <c r="DN103" s="44">
        <f t="shared" si="80"/>
        <v>0</v>
      </c>
      <c r="DO103" s="44">
        <f t="shared" si="80"/>
        <v>146546789</v>
      </c>
      <c r="DP103" s="44">
        <f t="shared" si="80"/>
        <v>70000000</v>
      </c>
      <c r="DQ103" s="44">
        <f t="shared" si="80"/>
        <v>266250</v>
      </c>
      <c r="DR103" s="44">
        <f t="shared" si="80"/>
        <v>0</v>
      </c>
      <c r="DS103" s="44">
        <f t="shared" si="80"/>
        <v>76223671</v>
      </c>
      <c r="DT103" s="44">
        <f t="shared" si="80"/>
        <v>10997954</v>
      </c>
      <c r="DU103" s="44">
        <f t="shared" si="80"/>
        <v>0</v>
      </c>
      <c r="DV103" s="44">
        <f t="shared" si="81"/>
        <v>0</v>
      </c>
      <c r="DW103" s="44">
        <f t="shared" si="81"/>
        <v>56600000</v>
      </c>
      <c r="DX103" s="44">
        <f t="shared" si="81"/>
        <v>0</v>
      </c>
      <c r="DY103" s="44">
        <f t="shared" si="81"/>
        <v>0</v>
      </c>
      <c r="DZ103" s="44">
        <f t="shared" si="81"/>
        <v>0</v>
      </c>
      <c r="EA103" s="44">
        <f t="shared" si="81"/>
        <v>2137483</v>
      </c>
      <c r="EB103" s="44">
        <f t="shared" si="81"/>
        <v>183211087</v>
      </c>
    </row>
    <row r="104" spans="1:132" ht="43.5" customHeight="1" x14ac:dyDescent="0.25">
      <c r="A104" s="50"/>
      <c r="B104" s="121"/>
      <c r="C104" s="83" t="s">
        <v>302</v>
      </c>
      <c r="D104" s="41" t="s">
        <v>303</v>
      </c>
      <c r="E104" s="122">
        <v>211</v>
      </c>
      <c r="F104" s="43" t="s">
        <v>304</v>
      </c>
      <c r="G104" s="44">
        <f t="shared" si="76"/>
        <v>177162497</v>
      </c>
      <c r="H104" s="45">
        <v>600000000</v>
      </c>
      <c r="I104" s="45">
        <f t="shared" si="82"/>
        <v>422837503</v>
      </c>
      <c r="J104" s="78"/>
      <c r="K104" s="44">
        <f>92303390+30000000</f>
        <v>122303390</v>
      </c>
      <c r="L104" s="44"/>
      <c r="M104" s="44">
        <f>35810000</f>
        <v>35810000</v>
      </c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>
        <f>11000000+1249107+6800000</f>
        <v>19049107</v>
      </c>
      <c r="AG104" s="46">
        <f t="shared" si="53"/>
        <v>0.18609529419762016</v>
      </c>
      <c r="AH104" s="44">
        <f t="shared" si="38"/>
        <v>32969107</v>
      </c>
      <c r="AI104" s="44"/>
      <c r="AJ104" s="44"/>
      <c r="AK104" s="44"/>
      <c r="AL104" s="44">
        <f>+'[5]Acuerdo PLAN INVERSIÓN 2021'!$M$6684</f>
        <v>21920000</v>
      </c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>
        <f>+'[5]Acuerdo PLAN INVERSIÓN 2021'!$AF$6684</f>
        <v>11049107</v>
      </c>
      <c r="BF104" s="46">
        <f t="shared" si="55"/>
        <v>0.81390470580237984</v>
      </c>
      <c r="BG104" s="44">
        <f t="shared" si="62"/>
        <v>144193390</v>
      </c>
      <c r="BH104" s="44">
        <f t="shared" si="77"/>
        <v>0</v>
      </c>
      <c r="BI104" s="44">
        <f t="shared" si="77"/>
        <v>122303390</v>
      </c>
      <c r="BJ104" s="44">
        <f t="shared" si="77"/>
        <v>0</v>
      </c>
      <c r="BK104" s="44">
        <f t="shared" si="77"/>
        <v>13890000</v>
      </c>
      <c r="BL104" s="44">
        <f t="shared" si="77"/>
        <v>0</v>
      </c>
      <c r="BM104" s="44">
        <f t="shared" si="77"/>
        <v>0</v>
      </c>
      <c r="BN104" s="44">
        <f t="shared" si="77"/>
        <v>0</v>
      </c>
      <c r="BO104" s="44">
        <f t="shared" si="77"/>
        <v>0</v>
      </c>
      <c r="BP104" s="44">
        <f t="shared" si="77"/>
        <v>0</v>
      </c>
      <c r="BQ104" s="44">
        <f t="shared" si="77"/>
        <v>0</v>
      </c>
      <c r="BR104" s="44">
        <f t="shared" si="77"/>
        <v>0</v>
      </c>
      <c r="BS104" s="44">
        <f t="shared" si="77"/>
        <v>0</v>
      </c>
      <c r="BT104" s="44">
        <f t="shared" si="77"/>
        <v>0</v>
      </c>
      <c r="BU104" s="44">
        <f t="shared" si="77"/>
        <v>0</v>
      </c>
      <c r="BV104" s="44">
        <f t="shared" si="77"/>
        <v>0</v>
      </c>
      <c r="BW104" s="44">
        <f t="shared" si="77"/>
        <v>0</v>
      </c>
      <c r="BX104" s="44">
        <f t="shared" si="78"/>
        <v>0</v>
      </c>
      <c r="BY104" s="44">
        <f t="shared" si="78"/>
        <v>0</v>
      </c>
      <c r="BZ104" s="44">
        <f t="shared" si="78"/>
        <v>0</v>
      </c>
      <c r="CA104" s="44">
        <f t="shared" si="78"/>
        <v>0</v>
      </c>
      <c r="CB104" s="44">
        <f t="shared" si="78"/>
        <v>0</v>
      </c>
      <c r="CC104" s="44">
        <f t="shared" si="78"/>
        <v>0</v>
      </c>
      <c r="CD104" s="44">
        <f t="shared" si="78"/>
        <v>8000000</v>
      </c>
      <c r="CE104" s="46">
        <f t="shared" si="42"/>
        <v>3.7529951951399736E-2</v>
      </c>
      <c r="CF104" s="44">
        <f t="shared" si="43"/>
        <v>6648900</v>
      </c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>
        <f>+'[5]Acuerdo PLAN INVERSIÓN 2021'!$H$6682</f>
        <v>6648900</v>
      </c>
      <c r="DD104" s="46">
        <f t="shared" si="54"/>
        <v>0.96247004804860026</v>
      </c>
      <c r="DE104" s="44">
        <f t="shared" si="79"/>
        <v>170513597</v>
      </c>
      <c r="DF104" s="44">
        <f t="shared" si="80"/>
        <v>0</v>
      </c>
      <c r="DG104" s="44">
        <f t="shared" si="80"/>
        <v>122303390</v>
      </c>
      <c r="DH104" s="44">
        <f t="shared" si="80"/>
        <v>0</v>
      </c>
      <c r="DI104" s="44">
        <f t="shared" si="80"/>
        <v>35810000</v>
      </c>
      <c r="DJ104" s="44">
        <f t="shared" si="80"/>
        <v>0</v>
      </c>
      <c r="DK104" s="44">
        <f t="shared" si="80"/>
        <v>0</v>
      </c>
      <c r="DL104" s="44">
        <f t="shared" si="80"/>
        <v>0</v>
      </c>
      <c r="DM104" s="44">
        <f t="shared" si="80"/>
        <v>0</v>
      </c>
      <c r="DN104" s="44">
        <f t="shared" si="80"/>
        <v>0</v>
      </c>
      <c r="DO104" s="44">
        <f t="shared" si="80"/>
        <v>0</v>
      </c>
      <c r="DP104" s="44">
        <f t="shared" si="80"/>
        <v>0</v>
      </c>
      <c r="DQ104" s="44">
        <f t="shared" si="80"/>
        <v>0</v>
      </c>
      <c r="DR104" s="44">
        <f t="shared" si="80"/>
        <v>0</v>
      </c>
      <c r="DS104" s="44">
        <f t="shared" si="80"/>
        <v>0</v>
      </c>
      <c r="DT104" s="44">
        <f t="shared" si="80"/>
        <v>0</v>
      </c>
      <c r="DU104" s="44">
        <f t="shared" si="80"/>
        <v>0</v>
      </c>
      <c r="DV104" s="44">
        <f t="shared" si="81"/>
        <v>0</v>
      </c>
      <c r="DW104" s="44">
        <f t="shared" si="81"/>
        <v>0</v>
      </c>
      <c r="DX104" s="44">
        <f t="shared" si="81"/>
        <v>0</v>
      </c>
      <c r="DY104" s="44">
        <f t="shared" si="81"/>
        <v>0</v>
      </c>
      <c r="DZ104" s="44">
        <f t="shared" si="81"/>
        <v>0</v>
      </c>
      <c r="EA104" s="44">
        <f t="shared" si="81"/>
        <v>0</v>
      </c>
      <c r="EB104" s="44">
        <f t="shared" si="81"/>
        <v>12400207</v>
      </c>
    </row>
    <row r="105" spans="1:132" ht="30" customHeight="1" x14ac:dyDescent="0.25">
      <c r="A105" s="50"/>
      <c r="B105" s="121"/>
      <c r="C105" s="83" t="s">
        <v>305</v>
      </c>
      <c r="D105" s="41" t="s">
        <v>306</v>
      </c>
      <c r="E105" s="122">
        <v>211</v>
      </c>
      <c r="F105" s="43" t="s">
        <v>240</v>
      </c>
      <c r="G105" s="44">
        <f t="shared" si="76"/>
        <v>537612538</v>
      </c>
      <c r="H105" s="45">
        <v>300000000</v>
      </c>
      <c r="I105" s="45">
        <f t="shared" si="82"/>
        <v>-237612538</v>
      </c>
      <c r="J105" s="78"/>
      <c r="K105" s="44"/>
      <c r="L105" s="44"/>
      <c r="M105" s="44">
        <v>137412037</v>
      </c>
      <c r="N105" s="44"/>
      <c r="O105" s="44"/>
      <c r="P105" s="44"/>
      <c r="Q105" s="44"/>
      <c r="R105" s="44"/>
      <c r="S105" s="44"/>
      <c r="T105" s="44"/>
      <c r="U105" s="44">
        <f>10000000+300000000-35031397</f>
        <v>274968603</v>
      </c>
      <c r="V105" s="44"/>
      <c r="W105" s="44"/>
      <c r="X105" s="44"/>
      <c r="Y105" s="44"/>
      <c r="Z105" s="44"/>
      <c r="AA105" s="44"/>
      <c r="AB105" s="44"/>
      <c r="AC105" s="44">
        <f>124281898</f>
        <v>124281898</v>
      </c>
      <c r="AD105" s="44"/>
      <c r="AE105" s="44"/>
      <c r="AF105" s="44">
        <f>950000</f>
        <v>950000</v>
      </c>
      <c r="AG105" s="46">
        <f t="shared" si="53"/>
        <v>0.16270165745278806</v>
      </c>
      <c r="AH105" s="44">
        <f t="shared" si="38"/>
        <v>87470451</v>
      </c>
      <c r="AI105" s="44"/>
      <c r="AJ105" s="44"/>
      <c r="AK105" s="44"/>
      <c r="AL105" s="44">
        <f>+'[5]Acuerdo PLAN INVERSIÓN 2021'!$M$6697</f>
        <v>36556762</v>
      </c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>
        <f>+'[6]Acuerdo PLAN INVERSIÓN 2021'!$AB$5742</f>
        <v>49963689</v>
      </c>
      <c r="BC105" s="44"/>
      <c r="BD105" s="44"/>
      <c r="BE105" s="44">
        <f>+'[3]Acuerdo PLAN INVERSIÓN 2021'!$AF$3425</f>
        <v>950000</v>
      </c>
      <c r="BF105" s="46">
        <f t="shared" si="55"/>
        <v>0.83729834254721192</v>
      </c>
      <c r="BG105" s="44">
        <f t="shared" si="62"/>
        <v>450142087</v>
      </c>
      <c r="BH105" s="44">
        <f t="shared" si="77"/>
        <v>0</v>
      </c>
      <c r="BI105" s="44">
        <f t="shared" si="77"/>
        <v>0</v>
      </c>
      <c r="BJ105" s="44">
        <f t="shared" si="77"/>
        <v>0</v>
      </c>
      <c r="BK105" s="44">
        <f t="shared" si="77"/>
        <v>100855275</v>
      </c>
      <c r="BL105" s="44">
        <f t="shared" si="77"/>
        <v>0</v>
      </c>
      <c r="BM105" s="44">
        <f t="shared" si="77"/>
        <v>0</v>
      </c>
      <c r="BN105" s="44">
        <f t="shared" si="77"/>
        <v>0</v>
      </c>
      <c r="BO105" s="44">
        <f t="shared" si="77"/>
        <v>0</v>
      </c>
      <c r="BP105" s="44">
        <f t="shared" si="77"/>
        <v>0</v>
      </c>
      <c r="BQ105" s="44">
        <f t="shared" si="77"/>
        <v>0</v>
      </c>
      <c r="BR105" s="44">
        <f t="shared" si="77"/>
        <v>0</v>
      </c>
      <c r="BS105" s="44">
        <f t="shared" si="77"/>
        <v>274968603</v>
      </c>
      <c r="BT105" s="44">
        <f t="shared" si="77"/>
        <v>0</v>
      </c>
      <c r="BU105" s="44">
        <f t="shared" si="77"/>
        <v>0</v>
      </c>
      <c r="BV105" s="44">
        <f t="shared" si="77"/>
        <v>0</v>
      </c>
      <c r="BW105" s="44">
        <f t="shared" si="77"/>
        <v>0</v>
      </c>
      <c r="BX105" s="44">
        <f t="shared" si="78"/>
        <v>0</v>
      </c>
      <c r="BY105" s="44">
        <f t="shared" si="78"/>
        <v>0</v>
      </c>
      <c r="BZ105" s="44">
        <f t="shared" si="78"/>
        <v>0</v>
      </c>
      <c r="CA105" s="44">
        <f t="shared" si="78"/>
        <v>74318209</v>
      </c>
      <c r="CB105" s="44">
        <f t="shared" si="78"/>
        <v>0</v>
      </c>
      <c r="CC105" s="44">
        <f t="shared" si="78"/>
        <v>0</v>
      </c>
      <c r="CD105" s="44">
        <f t="shared" si="78"/>
        <v>0</v>
      </c>
      <c r="CE105" s="46">
        <f t="shared" si="42"/>
        <v>0</v>
      </c>
      <c r="CF105" s="44">
        <f t="shared" si="43"/>
        <v>0</v>
      </c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6">
        <f t="shared" si="54"/>
        <v>1</v>
      </c>
      <c r="DE105" s="44">
        <f t="shared" si="79"/>
        <v>537612538</v>
      </c>
      <c r="DF105" s="44">
        <f t="shared" si="80"/>
        <v>0</v>
      </c>
      <c r="DG105" s="44">
        <f t="shared" si="80"/>
        <v>0</v>
      </c>
      <c r="DH105" s="44">
        <f t="shared" si="80"/>
        <v>0</v>
      </c>
      <c r="DI105" s="44">
        <f t="shared" si="80"/>
        <v>137412037</v>
      </c>
      <c r="DJ105" s="44">
        <f t="shared" si="80"/>
        <v>0</v>
      </c>
      <c r="DK105" s="44">
        <f t="shared" si="80"/>
        <v>0</v>
      </c>
      <c r="DL105" s="44">
        <f t="shared" si="80"/>
        <v>0</v>
      </c>
      <c r="DM105" s="44">
        <f t="shared" si="80"/>
        <v>0</v>
      </c>
      <c r="DN105" s="44">
        <f t="shared" si="80"/>
        <v>0</v>
      </c>
      <c r="DO105" s="44">
        <f t="shared" si="80"/>
        <v>0</v>
      </c>
      <c r="DP105" s="44">
        <f t="shared" si="80"/>
        <v>0</v>
      </c>
      <c r="DQ105" s="44">
        <f t="shared" si="80"/>
        <v>274968603</v>
      </c>
      <c r="DR105" s="44">
        <f t="shared" si="80"/>
        <v>0</v>
      </c>
      <c r="DS105" s="44">
        <f t="shared" si="80"/>
        <v>0</v>
      </c>
      <c r="DT105" s="44">
        <f t="shared" si="80"/>
        <v>0</v>
      </c>
      <c r="DU105" s="44">
        <f t="shared" si="80"/>
        <v>0</v>
      </c>
      <c r="DV105" s="44">
        <f t="shared" si="81"/>
        <v>0</v>
      </c>
      <c r="DW105" s="44">
        <f t="shared" si="81"/>
        <v>0</v>
      </c>
      <c r="DX105" s="44">
        <f t="shared" si="81"/>
        <v>0</v>
      </c>
      <c r="DY105" s="44">
        <f t="shared" si="81"/>
        <v>124281898</v>
      </c>
      <c r="DZ105" s="44">
        <f t="shared" si="81"/>
        <v>0</v>
      </c>
      <c r="EA105" s="44">
        <f t="shared" si="81"/>
        <v>0</v>
      </c>
      <c r="EB105" s="44">
        <f t="shared" si="81"/>
        <v>950000</v>
      </c>
    </row>
    <row r="106" spans="1:132" ht="28.15" customHeight="1" x14ac:dyDescent="0.25">
      <c r="A106" s="88"/>
      <c r="B106" s="121"/>
      <c r="C106" s="83" t="s">
        <v>307</v>
      </c>
      <c r="D106" s="41" t="s">
        <v>308</v>
      </c>
      <c r="E106" s="122">
        <v>211</v>
      </c>
      <c r="F106" s="43" t="s">
        <v>240</v>
      </c>
      <c r="G106" s="44">
        <f t="shared" si="76"/>
        <v>2783401112</v>
      </c>
      <c r="H106" s="45">
        <v>1500000000</v>
      </c>
      <c r="I106" s="45">
        <f t="shared" si="82"/>
        <v>-1283401112</v>
      </c>
      <c r="J106" s="44"/>
      <c r="K106" s="44"/>
      <c r="L106" s="44"/>
      <c r="M106" s="44">
        <f>10128485+2676241230</f>
        <v>2686369715</v>
      </c>
      <c r="N106" s="44"/>
      <c r="O106" s="44"/>
      <c r="P106" s="44"/>
      <c r="Q106" s="44">
        <f>100000000-65000000</f>
        <v>35000000</v>
      </c>
      <c r="R106" s="44"/>
      <c r="S106" s="44"/>
      <c r="T106" s="44"/>
      <c r="U106" s="44">
        <f>20000000+35031397</f>
        <v>55031397</v>
      </c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>
        <f>7000000</f>
        <v>7000000</v>
      </c>
      <c r="AG106" s="46">
        <f t="shared" si="53"/>
        <v>0.2421185588719417</v>
      </c>
      <c r="AH106" s="44">
        <f t="shared" si="38"/>
        <v>673913066</v>
      </c>
      <c r="AI106" s="44"/>
      <c r="AJ106" s="44"/>
      <c r="AK106" s="44"/>
      <c r="AL106" s="44">
        <f>+'[5]Acuerdo PLAN INVERSIÓN 2021'!$M$6718</f>
        <v>611933066</v>
      </c>
      <c r="AM106" s="44"/>
      <c r="AN106" s="44"/>
      <c r="AO106" s="44"/>
      <c r="AP106" s="44"/>
      <c r="AQ106" s="44"/>
      <c r="AR106" s="44"/>
      <c r="AS106" s="44"/>
      <c r="AT106" s="44">
        <f>+'[1]Acuerdo PLAN INVERSIÓN 2021'!$O$4807</f>
        <v>54980000</v>
      </c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>
        <f>+'[1]Acuerdo PLAN INVERSIÓN 2021'!$AF$4807</f>
        <v>7000000</v>
      </c>
      <c r="BF106" s="46">
        <f t="shared" si="55"/>
        <v>0.75788144112805833</v>
      </c>
      <c r="BG106" s="44">
        <f t="shared" si="62"/>
        <v>2109488046</v>
      </c>
      <c r="BH106" s="44">
        <f t="shared" si="77"/>
        <v>0</v>
      </c>
      <c r="BI106" s="44">
        <f t="shared" si="77"/>
        <v>0</v>
      </c>
      <c r="BJ106" s="44">
        <f t="shared" si="77"/>
        <v>0</v>
      </c>
      <c r="BK106" s="44">
        <f t="shared" si="77"/>
        <v>2074436649</v>
      </c>
      <c r="BL106" s="44">
        <f t="shared" si="77"/>
        <v>0</v>
      </c>
      <c r="BM106" s="44">
        <f t="shared" si="77"/>
        <v>0</v>
      </c>
      <c r="BN106" s="44">
        <f t="shared" si="77"/>
        <v>0</v>
      </c>
      <c r="BO106" s="44">
        <f t="shared" si="77"/>
        <v>35000000</v>
      </c>
      <c r="BP106" s="44">
        <f t="shared" si="77"/>
        <v>0</v>
      </c>
      <c r="BQ106" s="44">
        <f t="shared" si="77"/>
        <v>0</v>
      </c>
      <c r="BR106" s="44">
        <f t="shared" si="77"/>
        <v>0</v>
      </c>
      <c r="BS106" s="44">
        <f t="shared" si="77"/>
        <v>51397</v>
      </c>
      <c r="BT106" s="44">
        <f t="shared" si="77"/>
        <v>0</v>
      </c>
      <c r="BU106" s="44">
        <f t="shared" si="77"/>
        <v>0</v>
      </c>
      <c r="BV106" s="44">
        <f t="shared" si="77"/>
        <v>0</v>
      </c>
      <c r="BW106" s="44">
        <f t="shared" si="77"/>
        <v>0</v>
      </c>
      <c r="BX106" s="44">
        <f t="shared" si="78"/>
        <v>0</v>
      </c>
      <c r="BY106" s="44">
        <f t="shared" si="78"/>
        <v>0</v>
      </c>
      <c r="BZ106" s="44">
        <f t="shared" si="78"/>
        <v>0</v>
      </c>
      <c r="CA106" s="44">
        <f t="shared" si="78"/>
        <v>0</v>
      </c>
      <c r="CB106" s="44">
        <f t="shared" si="78"/>
        <v>0</v>
      </c>
      <c r="CC106" s="44">
        <f t="shared" si="78"/>
        <v>0</v>
      </c>
      <c r="CD106" s="44">
        <f t="shared" si="78"/>
        <v>0</v>
      </c>
      <c r="CE106" s="46">
        <f t="shared" si="42"/>
        <v>5.9362209164770932E-2</v>
      </c>
      <c r="CF106" s="44">
        <f t="shared" si="43"/>
        <v>165228839</v>
      </c>
      <c r="CG106" s="44"/>
      <c r="CH106" s="44"/>
      <c r="CI106" s="44"/>
      <c r="CJ106" s="44">
        <f>+'[5]Acuerdo PLAN INVERSIÓN 2021'!$H$6719+'[5]Acuerdo PLAN INVERSIÓN 2021'!$H$6735</f>
        <v>106204882</v>
      </c>
      <c r="CK106" s="44"/>
      <c r="CL106" s="44"/>
      <c r="CM106" s="44"/>
      <c r="CN106" s="44"/>
      <c r="CO106" s="44"/>
      <c r="CP106" s="44"/>
      <c r="CQ106" s="44"/>
      <c r="CR106" s="44">
        <f>+'[6]Acuerdo PLAN INVERSIÓN 2021'!$H$5766</f>
        <v>54980000</v>
      </c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>
        <f>+'[6]Acuerdo PLAN INVERSIÓN 2021'!$H$5763+'[5]Acuerdo PLAN INVERSIÓN 2021'!$H$6728</f>
        <v>4043957</v>
      </c>
      <c r="DD106" s="46">
        <f t="shared" si="54"/>
        <v>0.94063779083522903</v>
      </c>
      <c r="DE106" s="44">
        <f t="shared" si="79"/>
        <v>2618172273</v>
      </c>
      <c r="DF106" s="44">
        <f t="shared" si="80"/>
        <v>0</v>
      </c>
      <c r="DG106" s="44">
        <f t="shared" si="80"/>
        <v>0</v>
      </c>
      <c r="DH106" s="44">
        <f t="shared" si="80"/>
        <v>0</v>
      </c>
      <c r="DI106" s="44">
        <f t="shared" si="80"/>
        <v>2580164833</v>
      </c>
      <c r="DJ106" s="44">
        <f t="shared" si="80"/>
        <v>0</v>
      </c>
      <c r="DK106" s="44">
        <f t="shared" si="80"/>
        <v>0</v>
      </c>
      <c r="DL106" s="44">
        <f t="shared" si="80"/>
        <v>0</v>
      </c>
      <c r="DM106" s="44">
        <f t="shared" si="80"/>
        <v>35000000</v>
      </c>
      <c r="DN106" s="44">
        <f t="shared" si="80"/>
        <v>0</v>
      </c>
      <c r="DO106" s="44">
        <f t="shared" si="80"/>
        <v>0</v>
      </c>
      <c r="DP106" s="44">
        <f t="shared" si="80"/>
        <v>0</v>
      </c>
      <c r="DQ106" s="44">
        <f t="shared" si="80"/>
        <v>51397</v>
      </c>
      <c r="DR106" s="44">
        <f t="shared" si="80"/>
        <v>0</v>
      </c>
      <c r="DS106" s="44">
        <f t="shared" si="80"/>
        <v>0</v>
      </c>
      <c r="DT106" s="44">
        <f t="shared" si="80"/>
        <v>0</v>
      </c>
      <c r="DU106" s="44">
        <f t="shared" si="80"/>
        <v>0</v>
      </c>
      <c r="DV106" s="44">
        <f t="shared" si="81"/>
        <v>0</v>
      </c>
      <c r="DW106" s="44">
        <f t="shared" si="81"/>
        <v>0</v>
      </c>
      <c r="DX106" s="44">
        <f t="shared" si="81"/>
        <v>0</v>
      </c>
      <c r="DY106" s="44">
        <f t="shared" si="81"/>
        <v>0</v>
      </c>
      <c r="DZ106" s="44">
        <f t="shared" si="81"/>
        <v>0</v>
      </c>
      <c r="EA106" s="44">
        <f t="shared" si="81"/>
        <v>0</v>
      </c>
      <c r="EB106" s="44">
        <f t="shared" si="81"/>
        <v>2956043</v>
      </c>
    </row>
    <row r="107" spans="1:132" ht="30" customHeight="1" x14ac:dyDescent="0.25">
      <c r="A107" s="88"/>
      <c r="B107" s="121"/>
      <c r="C107" s="83" t="s">
        <v>309</v>
      </c>
      <c r="D107" s="41" t="s">
        <v>310</v>
      </c>
      <c r="E107" s="122">
        <v>211</v>
      </c>
      <c r="F107" s="43" t="s">
        <v>240</v>
      </c>
      <c r="G107" s="44">
        <f t="shared" si="76"/>
        <v>299954928</v>
      </c>
      <c r="H107" s="45">
        <v>340000000</v>
      </c>
      <c r="I107" s="45">
        <f t="shared" si="82"/>
        <v>40045072</v>
      </c>
      <c r="J107" s="78"/>
      <c r="K107" s="44">
        <f>43951027+30000000</f>
        <v>73951027</v>
      </c>
      <c r="L107" s="44"/>
      <c r="M107" s="44">
        <f>27680700+178323201</f>
        <v>206003901</v>
      </c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f>20000000</f>
        <v>20000000</v>
      </c>
      <c r="AG107" s="46">
        <f t="shared" si="53"/>
        <v>0.29205395818667795</v>
      </c>
      <c r="AH107" s="44">
        <f t="shared" si="38"/>
        <v>87603024</v>
      </c>
      <c r="AI107" s="44"/>
      <c r="AJ107" s="44"/>
      <c r="AK107" s="44"/>
      <c r="AL107" s="44">
        <f>+'[6]Acuerdo PLAN INVERSIÓN 2021'!$M$5785+'[5]Acuerdo PLAN INVERSIÓN 2021'!$G$6777+'[5]Acuerdo PLAN INVERSIÓN 2021'!$G$6779</f>
        <v>67603024</v>
      </c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>
        <f>+'[6]Acuerdo PLAN INVERSIÓN 2021'!$AF$5785</f>
        <v>20000000</v>
      </c>
      <c r="BF107" s="46">
        <f t="shared" si="55"/>
        <v>0.7079460418133221</v>
      </c>
      <c r="BG107" s="44">
        <f t="shared" si="62"/>
        <v>212351904</v>
      </c>
      <c r="BH107" s="44">
        <f t="shared" si="77"/>
        <v>0</v>
      </c>
      <c r="BI107" s="44">
        <f t="shared" si="77"/>
        <v>73951027</v>
      </c>
      <c r="BJ107" s="44">
        <f t="shared" si="77"/>
        <v>0</v>
      </c>
      <c r="BK107" s="44">
        <f t="shared" si="77"/>
        <v>138400877</v>
      </c>
      <c r="BL107" s="44">
        <f t="shared" si="77"/>
        <v>0</v>
      </c>
      <c r="BM107" s="44">
        <f t="shared" si="77"/>
        <v>0</v>
      </c>
      <c r="BN107" s="44">
        <f t="shared" si="77"/>
        <v>0</v>
      </c>
      <c r="BO107" s="44">
        <f t="shared" si="77"/>
        <v>0</v>
      </c>
      <c r="BP107" s="44">
        <f t="shared" si="77"/>
        <v>0</v>
      </c>
      <c r="BQ107" s="44">
        <f t="shared" si="77"/>
        <v>0</v>
      </c>
      <c r="BR107" s="44">
        <f t="shared" si="77"/>
        <v>0</v>
      </c>
      <c r="BS107" s="44">
        <f t="shared" si="77"/>
        <v>0</v>
      </c>
      <c r="BT107" s="44">
        <f t="shared" si="77"/>
        <v>0</v>
      </c>
      <c r="BU107" s="44">
        <f t="shared" si="77"/>
        <v>0</v>
      </c>
      <c r="BV107" s="44">
        <f t="shared" si="77"/>
        <v>0</v>
      </c>
      <c r="BW107" s="44">
        <f t="shared" si="77"/>
        <v>0</v>
      </c>
      <c r="BX107" s="44">
        <f t="shared" si="78"/>
        <v>0</v>
      </c>
      <c r="BY107" s="44">
        <f t="shared" si="78"/>
        <v>0</v>
      </c>
      <c r="BZ107" s="44">
        <f t="shared" si="78"/>
        <v>0</v>
      </c>
      <c r="CA107" s="44">
        <f t="shared" si="78"/>
        <v>0</v>
      </c>
      <c r="CB107" s="44">
        <f t="shared" si="78"/>
        <v>0</v>
      </c>
      <c r="CC107" s="44">
        <f t="shared" si="78"/>
        <v>0</v>
      </c>
      <c r="CD107" s="44">
        <f t="shared" si="78"/>
        <v>0</v>
      </c>
      <c r="CE107" s="46">
        <f t="shared" si="42"/>
        <v>0.15279002517338205</v>
      </c>
      <c r="CF107" s="44">
        <f t="shared" si="43"/>
        <v>45830121</v>
      </c>
      <c r="CG107" s="44"/>
      <c r="CH107" s="44"/>
      <c r="CI107" s="44"/>
      <c r="CJ107" s="44">
        <f>+'[3]Acuerdo PLAN INVERSIÓN 2021'!$H$3437</f>
        <v>27680444</v>
      </c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>
        <f>+'[6]Acuerdo PLAN INVERSIÓN 2021'!$H$5792+'[5]Acuerdo PLAN INVERSIÓN 2021'!$H$6769</f>
        <v>18149677</v>
      </c>
      <c r="DD107" s="46">
        <f t="shared" si="54"/>
        <v>0.84720997482661797</v>
      </c>
      <c r="DE107" s="44">
        <f t="shared" si="79"/>
        <v>254124807</v>
      </c>
      <c r="DF107" s="44">
        <f t="shared" si="80"/>
        <v>0</v>
      </c>
      <c r="DG107" s="44">
        <f t="shared" si="80"/>
        <v>73951027</v>
      </c>
      <c r="DH107" s="44">
        <f t="shared" si="80"/>
        <v>0</v>
      </c>
      <c r="DI107" s="44">
        <f t="shared" si="80"/>
        <v>178323457</v>
      </c>
      <c r="DJ107" s="44">
        <f t="shared" si="80"/>
        <v>0</v>
      </c>
      <c r="DK107" s="44">
        <f t="shared" si="80"/>
        <v>0</v>
      </c>
      <c r="DL107" s="44">
        <f t="shared" si="80"/>
        <v>0</v>
      </c>
      <c r="DM107" s="44">
        <f t="shared" si="80"/>
        <v>0</v>
      </c>
      <c r="DN107" s="44">
        <f t="shared" si="80"/>
        <v>0</v>
      </c>
      <c r="DO107" s="44">
        <f t="shared" si="80"/>
        <v>0</v>
      </c>
      <c r="DP107" s="44">
        <f t="shared" si="80"/>
        <v>0</v>
      </c>
      <c r="DQ107" s="44">
        <f t="shared" si="80"/>
        <v>0</v>
      </c>
      <c r="DR107" s="44">
        <f t="shared" si="80"/>
        <v>0</v>
      </c>
      <c r="DS107" s="44">
        <f t="shared" si="80"/>
        <v>0</v>
      </c>
      <c r="DT107" s="44">
        <f t="shared" si="80"/>
        <v>0</v>
      </c>
      <c r="DU107" s="44">
        <f t="shared" si="80"/>
        <v>0</v>
      </c>
      <c r="DV107" s="44">
        <f t="shared" si="81"/>
        <v>0</v>
      </c>
      <c r="DW107" s="44">
        <f t="shared" si="81"/>
        <v>0</v>
      </c>
      <c r="DX107" s="44">
        <f t="shared" si="81"/>
        <v>0</v>
      </c>
      <c r="DY107" s="44">
        <f t="shared" si="81"/>
        <v>0</v>
      </c>
      <c r="DZ107" s="44">
        <f t="shared" si="81"/>
        <v>0</v>
      </c>
      <c r="EA107" s="44">
        <f t="shared" si="81"/>
        <v>0</v>
      </c>
      <c r="EB107" s="44">
        <f t="shared" si="81"/>
        <v>1850323</v>
      </c>
    </row>
    <row r="108" spans="1:132" ht="30.6" customHeight="1" x14ac:dyDescent="0.25">
      <c r="A108" s="50" t="s">
        <v>311</v>
      </c>
      <c r="B108" s="121"/>
      <c r="C108" s="83" t="s">
        <v>312</v>
      </c>
      <c r="D108" s="41" t="s">
        <v>313</v>
      </c>
      <c r="E108" s="122">
        <v>211</v>
      </c>
      <c r="F108" s="43" t="s">
        <v>240</v>
      </c>
      <c r="G108" s="44">
        <f t="shared" si="76"/>
        <v>519100131</v>
      </c>
      <c r="H108" s="45">
        <v>270000000</v>
      </c>
      <c r="I108" s="45">
        <f t="shared" si="82"/>
        <v>-249100131</v>
      </c>
      <c r="J108" s="44"/>
      <c r="K108" s="44"/>
      <c r="L108" s="44"/>
      <c r="M108" s="44">
        <f>972070+498128061</f>
        <v>499100131</v>
      </c>
      <c r="N108" s="44"/>
      <c r="O108" s="44"/>
      <c r="P108" s="44"/>
      <c r="Q108" s="44">
        <f>50000000-50000000</f>
        <v>0</v>
      </c>
      <c r="R108" s="44"/>
      <c r="S108" s="44"/>
      <c r="T108" s="44"/>
      <c r="U108" s="44">
        <v>20000000</v>
      </c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6">
        <f t="shared" si="53"/>
        <v>0.54441650487658999</v>
      </c>
      <c r="AH108" s="44">
        <f t="shared" si="38"/>
        <v>282606679</v>
      </c>
      <c r="AI108" s="44"/>
      <c r="AJ108" s="44"/>
      <c r="AK108" s="44"/>
      <c r="AL108" s="44">
        <f>+'[5]Acuerdo PLAN INVERSIÓN 2021'!$M$6783</f>
        <v>282606679</v>
      </c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6">
        <f t="shared" si="55"/>
        <v>0.45558349512341001</v>
      </c>
      <c r="BG108" s="44">
        <f t="shared" si="62"/>
        <v>236493452</v>
      </c>
      <c r="BH108" s="44">
        <f t="shared" si="77"/>
        <v>0</v>
      </c>
      <c r="BI108" s="44">
        <f t="shared" si="77"/>
        <v>0</v>
      </c>
      <c r="BJ108" s="44">
        <f t="shared" si="77"/>
        <v>0</v>
      </c>
      <c r="BK108" s="44">
        <f t="shared" si="77"/>
        <v>216493452</v>
      </c>
      <c r="BL108" s="44">
        <f t="shared" si="77"/>
        <v>0</v>
      </c>
      <c r="BM108" s="44">
        <f t="shared" si="77"/>
        <v>0</v>
      </c>
      <c r="BN108" s="44">
        <f t="shared" si="77"/>
        <v>0</v>
      </c>
      <c r="BO108" s="44">
        <f t="shared" si="77"/>
        <v>0</v>
      </c>
      <c r="BP108" s="44">
        <f t="shared" si="77"/>
        <v>0</v>
      </c>
      <c r="BQ108" s="44">
        <f t="shared" si="77"/>
        <v>0</v>
      </c>
      <c r="BR108" s="44">
        <f t="shared" si="77"/>
        <v>0</v>
      </c>
      <c r="BS108" s="44">
        <f t="shared" si="77"/>
        <v>20000000</v>
      </c>
      <c r="BT108" s="44">
        <f t="shared" si="77"/>
        <v>0</v>
      </c>
      <c r="BU108" s="44">
        <f t="shared" si="77"/>
        <v>0</v>
      </c>
      <c r="BV108" s="44">
        <f t="shared" si="77"/>
        <v>0</v>
      </c>
      <c r="BW108" s="44">
        <f t="shared" si="77"/>
        <v>0</v>
      </c>
      <c r="BX108" s="44">
        <f t="shared" si="78"/>
        <v>0</v>
      </c>
      <c r="BY108" s="44">
        <f t="shared" si="78"/>
        <v>0</v>
      </c>
      <c r="BZ108" s="44">
        <f t="shared" si="78"/>
        <v>0</v>
      </c>
      <c r="CA108" s="44">
        <f t="shared" si="78"/>
        <v>0</v>
      </c>
      <c r="CB108" s="44">
        <f t="shared" si="78"/>
        <v>0</v>
      </c>
      <c r="CC108" s="44">
        <f t="shared" si="78"/>
        <v>0</v>
      </c>
      <c r="CD108" s="44">
        <f t="shared" si="78"/>
        <v>0</v>
      </c>
      <c r="CE108" s="46">
        <f t="shared" si="42"/>
        <v>2.305036983317579E-2</v>
      </c>
      <c r="CF108" s="44">
        <f t="shared" si="43"/>
        <v>11965450</v>
      </c>
      <c r="CG108" s="44"/>
      <c r="CH108" s="44"/>
      <c r="CI108" s="44"/>
      <c r="CJ108" s="44">
        <f>+'[5]Acuerdo PLAN INVERSIÓN 2021'!$H$6781</f>
        <v>11965450</v>
      </c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6">
        <f t="shared" si="54"/>
        <v>0.97694963016682423</v>
      </c>
      <c r="DE108" s="44">
        <f t="shared" si="79"/>
        <v>507134681</v>
      </c>
      <c r="DF108" s="44">
        <f t="shared" si="80"/>
        <v>0</v>
      </c>
      <c r="DG108" s="44">
        <f t="shared" si="80"/>
        <v>0</v>
      </c>
      <c r="DH108" s="44">
        <f t="shared" si="80"/>
        <v>0</v>
      </c>
      <c r="DI108" s="44">
        <f t="shared" si="80"/>
        <v>487134681</v>
      </c>
      <c r="DJ108" s="44">
        <f t="shared" si="80"/>
        <v>0</v>
      </c>
      <c r="DK108" s="44">
        <f t="shared" si="80"/>
        <v>0</v>
      </c>
      <c r="DL108" s="44">
        <f t="shared" si="80"/>
        <v>0</v>
      </c>
      <c r="DM108" s="44">
        <f t="shared" si="80"/>
        <v>0</v>
      </c>
      <c r="DN108" s="44">
        <f t="shared" si="80"/>
        <v>0</v>
      </c>
      <c r="DO108" s="44">
        <f t="shared" si="80"/>
        <v>0</v>
      </c>
      <c r="DP108" s="44">
        <f t="shared" si="80"/>
        <v>0</v>
      </c>
      <c r="DQ108" s="44">
        <f t="shared" si="80"/>
        <v>20000000</v>
      </c>
      <c r="DR108" s="44">
        <f t="shared" si="80"/>
        <v>0</v>
      </c>
      <c r="DS108" s="44">
        <f t="shared" si="80"/>
        <v>0</v>
      </c>
      <c r="DT108" s="44">
        <f t="shared" si="80"/>
        <v>0</v>
      </c>
      <c r="DU108" s="44">
        <f t="shared" si="80"/>
        <v>0</v>
      </c>
      <c r="DV108" s="44">
        <f t="shared" si="81"/>
        <v>0</v>
      </c>
      <c r="DW108" s="44">
        <f t="shared" si="81"/>
        <v>0</v>
      </c>
      <c r="DX108" s="44">
        <f t="shared" si="81"/>
        <v>0</v>
      </c>
      <c r="DY108" s="44">
        <f t="shared" si="81"/>
        <v>0</v>
      </c>
      <c r="DZ108" s="44">
        <f t="shared" si="81"/>
        <v>0</v>
      </c>
      <c r="EA108" s="44">
        <f t="shared" si="81"/>
        <v>0</v>
      </c>
      <c r="EB108" s="44">
        <f t="shared" si="81"/>
        <v>0</v>
      </c>
    </row>
    <row r="109" spans="1:132" ht="47.25" customHeight="1" x14ac:dyDescent="0.25">
      <c r="A109" s="50"/>
      <c r="B109" s="121"/>
      <c r="C109" s="83" t="s">
        <v>314</v>
      </c>
      <c r="D109" s="41" t="s">
        <v>315</v>
      </c>
      <c r="E109" s="122">
        <v>211</v>
      </c>
      <c r="F109" s="43" t="s">
        <v>316</v>
      </c>
      <c r="G109" s="44">
        <f t="shared" si="76"/>
        <v>459373195</v>
      </c>
      <c r="H109" s="45">
        <v>1955000000</v>
      </c>
      <c r="I109" s="45">
        <f t="shared" si="82"/>
        <v>1495626805</v>
      </c>
      <c r="J109" s="44">
        <v>228749467</v>
      </c>
      <c r="K109" s="44">
        <f>50000000-50000000</f>
        <v>0</v>
      </c>
      <c r="L109" s="44"/>
      <c r="M109" s="44">
        <v>32862151</v>
      </c>
      <c r="N109" s="44"/>
      <c r="O109" s="44"/>
      <c r="P109" s="44"/>
      <c r="Q109" s="44"/>
      <c r="R109" s="44"/>
      <c r="S109" s="44">
        <v>100000000</v>
      </c>
      <c r="T109" s="44"/>
      <c r="U109" s="44"/>
      <c r="V109" s="44"/>
      <c r="W109" s="44"/>
      <c r="X109" s="44"/>
      <c r="Y109" s="44"/>
      <c r="Z109" s="44"/>
      <c r="AA109" s="44">
        <v>56261577</v>
      </c>
      <c r="AB109" s="44"/>
      <c r="AC109" s="44"/>
      <c r="AD109" s="44"/>
      <c r="AE109" s="44"/>
      <c r="AF109" s="44">
        <f>40000000+20000000+1500000+10800000-20000000-10800000</f>
        <v>41500000</v>
      </c>
      <c r="AG109" s="46">
        <f t="shared" si="53"/>
        <v>4.68029049888294E-2</v>
      </c>
      <c r="AH109" s="44">
        <f t="shared" si="38"/>
        <v>21500000</v>
      </c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>
        <f>+'[1]Acuerdo PLAN INVERSIÓN 2021'!$AF$4836</f>
        <v>21500000</v>
      </c>
      <c r="BF109" s="46">
        <f t="shared" si="55"/>
        <v>0.95319709501117056</v>
      </c>
      <c r="BG109" s="44">
        <f t="shared" si="62"/>
        <v>437873195</v>
      </c>
      <c r="BH109" s="44">
        <f t="shared" si="77"/>
        <v>228749467</v>
      </c>
      <c r="BI109" s="44">
        <f t="shared" si="77"/>
        <v>0</v>
      </c>
      <c r="BJ109" s="44">
        <f t="shared" si="77"/>
        <v>0</v>
      </c>
      <c r="BK109" s="44">
        <f t="shared" si="77"/>
        <v>32862151</v>
      </c>
      <c r="BL109" s="44">
        <f t="shared" si="77"/>
        <v>0</v>
      </c>
      <c r="BM109" s="44">
        <f t="shared" si="77"/>
        <v>0</v>
      </c>
      <c r="BN109" s="44">
        <f t="shared" si="77"/>
        <v>0</v>
      </c>
      <c r="BO109" s="44">
        <f t="shared" si="77"/>
        <v>0</v>
      </c>
      <c r="BP109" s="44">
        <f t="shared" si="77"/>
        <v>0</v>
      </c>
      <c r="BQ109" s="44">
        <f t="shared" si="77"/>
        <v>100000000</v>
      </c>
      <c r="BR109" s="44">
        <f t="shared" si="77"/>
        <v>0</v>
      </c>
      <c r="BS109" s="44">
        <f t="shared" si="77"/>
        <v>0</v>
      </c>
      <c r="BT109" s="44">
        <f t="shared" si="77"/>
        <v>0</v>
      </c>
      <c r="BU109" s="44">
        <f t="shared" si="77"/>
        <v>0</v>
      </c>
      <c r="BV109" s="44">
        <f t="shared" si="77"/>
        <v>0</v>
      </c>
      <c r="BW109" s="44">
        <f t="shared" si="77"/>
        <v>0</v>
      </c>
      <c r="BX109" s="44">
        <f t="shared" si="78"/>
        <v>0</v>
      </c>
      <c r="BY109" s="44">
        <f t="shared" si="78"/>
        <v>56261577</v>
      </c>
      <c r="BZ109" s="44">
        <f t="shared" si="78"/>
        <v>0</v>
      </c>
      <c r="CA109" s="44">
        <f t="shared" si="78"/>
        <v>0</v>
      </c>
      <c r="CB109" s="44">
        <f t="shared" si="78"/>
        <v>0</v>
      </c>
      <c r="CC109" s="44">
        <f t="shared" si="78"/>
        <v>0</v>
      </c>
      <c r="CD109" s="44">
        <f t="shared" si="78"/>
        <v>20000000</v>
      </c>
      <c r="CE109" s="46">
        <f t="shared" si="42"/>
        <v>3.1347061946006669E-3</v>
      </c>
      <c r="CF109" s="44">
        <f t="shared" si="43"/>
        <v>1440000</v>
      </c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>
        <f>+'[5]Acuerdo PLAN INVERSIÓN 2021'!$H$6793</f>
        <v>1440000</v>
      </c>
      <c r="DD109" s="46">
        <f t="shared" si="54"/>
        <v>0.99686529380539934</v>
      </c>
      <c r="DE109" s="44">
        <f t="shared" si="79"/>
        <v>457933195</v>
      </c>
      <c r="DF109" s="44">
        <f t="shared" si="80"/>
        <v>228749467</v>
      </c>
      <c r="DG109" s="44">
        <f t="shared" si="80"/>
        <v>0</v>
      </c>
      <c r="DH109" s="44">
        <f t="shared" si="80"/>
        <v>0</v>
      </c>
      <c r="DI109" s="44">
        <f t="shared" si="80"/>
        <v>32862151</v>
      </c>
      <c r="DJ109" s="44">
        <f t="shared" si="80"/>
        <v>0</v>
      </c>
      <c r="DK109" s="44">
        <f t="shared" si="80"/>
        <v>0</v>
      </c>
      <c r="DL109" s="44">
        <f t="shared" si="80"/>
        <v>0</v>
      </c>
      <c r="DM109" s="44">
        <f t="shared" si="80"/>
        <v>0</v>
      </c>
      <c r="DN109" s="44">
        <f t="shared" si="80"/>
        <v>0</v>
      </c>
      <c r="DO109" s="44">
        <f t="shared" si="80"/>
        <v>100000000</v>
      </c>
      <c r="DP109" s="44">
        <f t="shared" si="80"/>
        <v>0</v>
      </c>
      <c r="DQ109" s="44">
        <f t="shared" si="80"/>
        <v>0</v>
      </c>
      <c r="DR109" s="44">
        <f t="shared" si="80"/>
        <v>0</v>
      </c>
      <c r="DS109" s="44">
        <f t="shared" si="80"/>
        <v>0</v>
      </c>
      <c r="DT109" s="44">
        <f t="shared" si="80"/>
        <v>0</v>
      </c>
      <c r="DU109" s="44">
        <f t="shared" si="80"/>
        <v>0</v>
      </c>
      <c r="DV109" s="44">
        <f t="shared" si="81"/>
        <v>0</v>
      </c>
      <c r="DW109" s="44">
        <f t="shared" si="81"/>
        <v>56261577</v>
      </c>
      <c r="DX109" s="44">
        <f t="shared" si="81"/>
        <v>0</v>
      </c>
      <c r="DY109" s="44">
        <f t="shared" si="81"/>
        <v>0</v>
      </c>
      <c r="DZ109" s="44">
        <f t="shared" si="81"/>
        <v>0</v>
      </c>
      <c r="EA109" s="44">
        <f t="shared" si="81"/>
        <v>0</v>
      </c>
      <c r="EB109" s="44">
        <f t="shared" si="81"/>
        <v>40060000</v>
      </c>
    </row>
    <row r="110" spans="1:132" ht="20.45" customHeight="1" x14ac:dyDescent="0.25">
      <c r="A110" s="50"/>
      <c r="B110" s="121"/>
      <c r="C110" s="83" t="s">
        <v>317</v>
      </c>
      <c r="D110" s="41" t="s">
        <v>318</v>
      </c>
      <c r="E110" s="122">
        <v>211</v>
      </c>
      <c r="F110" s="43" t="s">
        <v>240</v>
      </c>
      <c r="G110" s="44">
        <f t="shared" si="76"/>
        <v>0</v>
      </c>
      <c r="H110" s="45">
        <v>100000000</v>
      </c>
      <c r="I110" s="45">
        <f t="shared" si="82"/>
        <v>100000000</v>
      </c>
      <c r="J110" s="78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6" t="e">
        <f t="shared" si="53"/>
        <v>#DIV/0!</v>
      </c>
      <c r="AH110" s="44">
        <f t="shared" si="38"/>
        <v>0</v>
      </c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6" t="e">
        <f t="shared" si="55"/>
        <v>#DIV/0!</v>
      </c>
      <c r="BG110" s="44">
        <f t="shared" si="62"/>
        <v>0</v>
      </c>
      <c r="BH110" s="44">
        <f t="shared" si="77"/>
        <v>0</v>
      </c>
      <c r="BI110" s="44">
        <f t="shared" si="77"/>
        <v>0</v>
      </c>
      <c r="BJ110" s="44">
        <f t="shared" si="77"/>
        <v>0</v>
      </c>
      <c r="BK110" s="44">
        <f t="shared" si="77"/>
        <v>0</v>
      </c>
      <c r="BL110" s="44">
        <f t="shared" si="77"/>
        <v>0</v>
      </c>
      <c r="BM110" s="44">
        <f t="shared" si="77"/>
        <v>0</v>
      </c>
      <c r="BN110" s="44">
        <f t="shared" si="77"/>
        <v>0</v>
      </c>
      <c r="BO110" s="44">
        <f t="shared" si="77"/>
        <v>0</v>
      </c>
      <c r="BP110" s="44">
        <f t="shared" si="77"/>
        <v>0</v>
      </c>
      <c r="BQ110" s="44">
        <f t="shared" si="77"/>
        <v>0</v>
      </c>
      <c r="BR110" s="44">
        <f t="shared" si="77"/>
        <v>0</v>
      </c>
      <c r="BS110" s="44">
        <f t="shared" si="77"/>
        <v>0</v>
      </c>
      <c r="BT110" s="44">
        <f t="shared" si="77"/>
        <v>0</v>
      </c>
      <c r="BU110" s="44">
        <f t="shared" si="77"/>
        <v>0</v>
      </c>
      <c r="BV110" s="44">
        <f t="shared" si="77"/>
        <v>0</v>
      </c>
      <c r="BW110" s="44">
        <f t="shared" si="77"/>
        <v>0</v>
      </c>
      <c r="BX110" s="44">
        <f t="shared" si="78"/>
        <v>0</v>
      </c>
      <c r="BY110" s="44">
        <f t="shared" si="78"/>
        <v>0</v>
      </c>
      <c r="BZ110" s="44">
        <f t="shared" si="78"/>
        <v>0</v>
      </c>
      <c r="CA110" s="44">
        <f t="shared" si="78"/>
        <v>0</v>
      </c>
      <c r="CB110" s="44">
        <f t="shared" si="78"/>
        <v>0</v>
      </c>
      <c r="CC110" s="44">
        <f t="shared" si="78"/>
        <v>0</v>
      </c>
      <c r="CD110" s="44">
        <f t="shared" si="78"/>
        <v>0</v>
      </c>
      <c r="CE110" s="46" t="e">
        <f t="shared" si="42"/>
        <v>#DIV/0!</v>
      </c>
      <c r="CF110" s="44">
        <f t="shared" si="43"/>
        <v>0</v>
      </c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6" t="e">
        <f t="shared" si="54"/>
        <v>#DIV/0!</v>
      </c>
      <c r="DE110" s="44">
        <f t="shared" si="79"/>
        <v>0</v>
      </c>
      <c r="DF110" s="44">
        <f t="shared" si="80"/>
        <v>0</v>
      </c>
      <c r="DG110" s="44">
        <f t="shared" si="80"/>
        <v>0</v>
      </c>
      <c r="DH110" s="44">
        <f t="shared" si="80"/>
        <v>0</v>
      </c>
      <c r="DI110" s="44">
        <f t="shared" si="80"/>
        <v>0</v>
      </c>
      <c r="DJ110" s="44">
        <f t="shared" si="80"/>
        <v>0</v>
      </c>
      <c r="DK110" s="44">
        <f t="shared" si="80"/>
        <v>0</v>
      </c>
      <c r="DL110" s="44">
        <f t="shared" si="80"/>
        <v>0</v>
      </c>
      <c r="DM110" s="44">
        <f t="shared" si="80"/>
        <v>0</v>
      </c>
      <c r="DN110" s="44">
        <f t="shared" si="80"/>
        <v>0</v>
      </c>
      <c r="DO110" s="44">
        <f t="shared" si="80"/>
        <v>0</v>
      </c>
      <c r="DP110" s="44">
        <f t="shared" si="80"/>
        <v>0</v>
      </c>
      <c r="DQ110" s="44">
        <f t="shared" si="80"/>
        <v>0</v>
      </c>
      <c r="DR110" s="44">
        <f t="shared" si="80"/>
        <v>0</v>
      </c>
      <c r="DS110" s="44">
        <f t="shared" si="80"/>
        <v>0</v>
      </c>
      <c r="DT110" s="44">
        <f t="shared" si="80"/>
        <v>0</v>
      </c>
      <c r="DU110" s="44">
        <f t="shared" si="80"/>
        <v>0</v>
      </c>
      <c r="DV110" s="44">
        <f t="shared" si="81"/>
        <v>0</v>
      </c>
      <c r="DW110" s="44">
        <f t="shared" si="81"/>
        <v>0</v>
      </c>
      <c r="DX110" s="44">
        <f t="shared" si="81"/>
        <v>0</v>
      </c>
      <c r="DY110" s="44">
        <f t="shared" si="81"/>
        <v>0</v>
      </c>
      <c r="DZ110" s="44">
        <f t="shared" si="81"/>
        <v>0</v>
      </c>
      <c r="EA110" s="44">
        <f t="shared" si="81"/>
        <v>0</v>
      </c>
      <c r="EB110" s="44">
        <f t="shared" si="81"/>
        <v>0</v>
      </c>
    </row>
    <row r="111" spans="1:132" ht="42.75" customHeight="1" x14ac:dyDescent="0.25">
      <c r="A111" s="50"/>
      <c r="B111" s="121"/>
      <c r="C111" s="83" t="s">
        <v>319</v>
      </c>
      <c r="D111" s="41" t="s">
        <v>320</v>
      </c>
      <c r="E111" s="122">
        <v>211</v>
      </c>
      <c r="F111" s="43" t="s">
        <v>321</v>
      </c>
      <c r="G111" s="44">
        <f t="shared" si="76"/>
        <v>230168649</v>
      </c>
      <c r="H111" s="45">
        <v>504000000</v>
      </c>
      <c r="I111" s="45">
        <f t="shared" si="82"/>
        <v>273831351</v>
      </c>
      <c r="J111" s="78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>
        <f>71771849+4999400+20000000+5000000+50000000+10800000+20000000+10000000+5000000+32597400</f>
        <v>230168649</v>
      </c>
      <c r="AG111" s="46">
        <f t="shared" si="53"/>
        <v>0.94833853762594744</v>
      </c>
      <c r="AH111" s="44">
        <f t="shared" si="38"/>
        <v>218277800</v>
      </c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>
        <f>+'[6]Acuerdo PLAN INVERSIÓN 2021'!$AF$5822+'[5]Acuerdo PLAN INVERSIÓN 2021'!$G$6847</f>
        <v>218277800</v>
      </c>
      <c r="BF111" s="46">
        <f t="shared" si="55"/>
        <v>5.1661462374052558E-2</v>
      </c>
      <c r="BG111" s="44">
        <f t="shared" si="62"/>
        <v>11890849</v>
      </c>
      <c r="BH111" s="44">
        <f t="shared" si="77"/>
        <v>0</v>
      </c>
      <c r="BI111" s="44">
        <f t="shared" si="77"/>
        <v>0</v>
      </c>
      <c r="BJ111" s="44">
        <f t="shared" si="77"/>
        <v>0</v>
      </c>
      <c r="BK111" s="44">
        <f t="shared" si="77"/>
        <v>0</v>
      </c>
      <c r="BL111" s="44">
        <f t="shared" si="77"/>
        <v>0</v>
      </c>
      <c r="BM111" s="44">
        <f t="shared" si="77"/>
        <v>0</v>
      </c>
      <c r="BN111" s="44">
        <f t="shared" si="77"/>
        <v>0</v>
      </c>
      <c r="BO111" s="44">
        <f t="shared" si="77"/>
        <v>0</v>
      </c>
      <c r="BP111" s="44">
        <f t="shared" si="77"/>
        <v>0</v>
      </c>
      <c r="BQ111" s="44">
        <f t="shared" si="77"/>
        <v>0</v>
      </c>
      <c r="BR111" s="44">
        <f t="shared" si="77"/>
        <v>0</v>
      </c>
      <c r="BS111" s="44">
        <f t="shared" si="77"/>
        <v>0</v>
      </c>
      <c r="BT111" s="44">
        <f t="shared" si="77"/>
        <v>0</v>
      </c>
      <c r="BU111" s="44">
        <f t="shared" si="77"/>
        <v>0</v>
      </c>
      <c r="BV111" s="44">
        <f t="shared" si="77"/>
        <v>0</v>
      </c>
      <c r="BW111" s="44">
        <f t="shared" si="77"/>
        <v>0</v>
      </c>
      <c r="BX111" s="44">
        <f t="shared" si="78"/>
        <v>0</v>
      </c>
      <c r="BY111" s="44">
        <f t="shared" si="78"/>
        <v>0</v>
      </c>
      <c r="BZ111" s="44">
        <f t="shared" si="78"/>
        <v>0</v>
      </c>
      <c r="CA111" s="44">
        <f t="shared" si="78"/>
        <v>0</v>
      </c>
      <c r="CB111" s="44">
        <f t="shared" si="78"/>
        <v>0</v>
      </c>
      <c r="CC111" s="44">
        <f t="shared" si="78"/>
        <v>0</v>
      </c>
      <c r="CD111" s="44">
        <f t="shared" si="78"/>
        <v>11890849</v>
      </c>
      <c r="CE111" s="46">
        <f t="shared" si="42"/>
        <v>0.27843063022888054</v>
      </c>
      <c r="CF111" s="44">
        <f t="shared" si="43"/>
        <v>64086002</v>
      </c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>
        <f>+'[5]Acuerdo PLAN INVERSIÓN 2021'!$H$6808</f>
        <v>64086002</v>
      </c>
      <c r="DD111" s="46">
        <f t="shared" si="54"/>
        <v>0.72156936977111941</v>
      </c>
      <c r="DE111" s="44">
        <f t="shared" si="79"/>
        <v>166082647</v>
      </c>
      <c r="DF111" s="44">
        <f t="shared" si="80"/>
        <v>0</v>
      </c>
      <c r="DG111" s="44">
        <f t="shared" si="80"/>
        <v>0</v>
      </c>
      <c r="DH111" s="44">
        <f t="shared" si="80"/>
        <v>0</v>
      </c>
      <c r="DI111" s="44">
        <f t="shared" si="80"/>
        <v>0</v>
      </c>
      <c r="DJ111" s="44">
        <f t="shared" si="80"/>
        <v>0</v>
      </c>
      <c r="DK111" s="44">
        <f t="shared" si="80"/>
        <v>0</v>
      </c>
      <c r="DL111" s="44">
        <f t="shared" si="80"/>
        <v>0</v>
      </c>
      <c r="DM111" s="44">
        <f t="shared" si="80"/>
        <v>0</v>
      </c>
      <c r="DN111" s="44">
        <f t="shared" si="80"/>
        <v>0</v>
      </c>
      <c r="DO111" s="44">
        <f t="shared" si="80"/>
        <v>0</v>
      </c>
      <c r="DP111" s="44">
        <f t="shared" si="80"/>
        <v>0</v>
      </c>
      <c r="DQ111" s="44">
        <f t="shared" si="80"/>
        <v>0</v>
      </c>
      <c r="DR111" s="44">
        <f t="shared" si="80"/>
        <v>0</v>
      </c>
      <c r="DS111" s="44">
        <f t="shared" si="80"/>
        <v>0</v>
      </c>
      <c r="DT111" s="44">
        <f t="shared" si="80"/>
        <v>0</v>
      </c>
      <c r="DU111" s="44">
        <f t="shared" si="80"/>
        <v>0</v>
      </c>
      <c r="DV111" s="44">
        <f t="shared" si="81"/>
        <v>0</v>
      </c>
      <c r="DW111" s="44">
        <f t="shared" si="81"/>
        <v>0</v>
      </c>
      <c r="DX111" s="44">
        <f t="shared" si="81"/>
        <v>0</v>
      </c>
      <c r="DY111" s="44">
        <f t="shared" si="81"/>
        <v>0</v>
      </c>
      <c r="DZ111" s="44">
        <f t="shared" si="81"/>
        <v>0</v>
      </c>
      <c r="EA111" s="44">
        <f t="shared" si="81"/>
        <v>0</v>
      </c>
      <c r="EB111" s="44">
        <f t="shared" si="81"/>
        <v>166082647</v>
      </c>
    </row>
    <row r="112" spans="1:132" ht="25.15" customHeight="1" x14ac:dyDescent="0.25">
      <c r="A112" s="50"/>
      <c r="B112" s="121"/>
      <c r="C112" s="83" t="s">
        <v>322</v>
      </c>
      <c r="D112" s="41" t="s">
        <v>323</v>
      </c>
      <c r="E112" s="122">
        <v>211</v>
      </c>
      <c r="F112" s="43" t="s">
        <v>324</v>
      </c>
      <c r="G112" s="44">
        <f t="shared" si="76"/>
        <v>17171220</v>
      </c>
      <c r="H112" s="45">
        <v>252000000</v>
      </c>
      <c r="I112" s="45">
        <f t="shared" si="82"/>
        <v>234828780</v>
      </c>
      <c r="J112" s="78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>
        <f>6103602+11067618</f>
        <v>17171220</v>
      </c>
      <c r="AG112" s="46">
        <f t="shared" si="53"/>
        <v>1</v>
      </c>
      <c r="AH112" s="44">
        <f t="shared" si="38"/>
        <v>17171220</v>
      </c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>
        <f>+'[6]Acuerdo PLAN INVERSIÓN 2021'!$AF$5859</f>
        <v>17171220</v>
      </c>
      <c r="BF112" s="46">
        <f t="shared" si="55"/>
        <v>0</v>
      </c>
      <c r="BG112" s="44">
        <f t="shared" si="62"/>
        <v>0</v>
      </c>
      <c r="BH112" s="44">
        <f t="shared" si="77"/>
        <v>0</v>
      </c>
      <c r="BI112" s="44">
        <f t="shared" si="77"/>
        <v>0</v>
      </c>
      <c r="BJ112" s="44">
        <f t="shared" si="77"/>
        <v>0</v>
      </c>
      <c r="BK112" s="44">
        <f t="shared" si="77"/>
        <v>0</v>
      </c>
      <c r="BL112" s="44">
        <f t="shared" si="77"/>
        <v>0</v>
      </c>
      <c r="BM112" s="44">
        <f t="shared" si="77"/>
        <v>0</v>
      </c>
      <c r="BN112" s="44">
        <f t="shared" si="77"/>
        <v>0</v>
      </c>
      <c r="BO112" s="44">
        <f t="shared" si="77"/>
        <v>0</v>
      </c>
      <c r="BP112" s="44">
        <f t="shared" si="77"/>
        <v>0</v>
      </c>
      <c r="BQ112" s="44">
        <f t="shared" si="77"/>
        <v>0</v>
      </c>
      <c r="BR112" s="44">
        <f t="shared" si="77"/>
        <v>0</v>
      </c>
      <c r="BS112" s="44">
        <f t="shared" si="77"/>
        <v>0</v>
      </c>
      <c r="BT112" s="44">
        <f t="shared" si="77"/>
        <v>0</v>
      </c>
      <c r="BU112" s="44">
        <f t="shared" si="77"/>
        <v>0</v>
      </c>
      <c r="BV112" s="44">
        <f t="shared" si="77"/>
        <v>0</v>
      </c>
      <c r="BW112" s="44">
        <f t="shared" si="77"/>
        <v>0</v>
      </c>
      <c r="BX112" s="44">
        <f t="shared" si="78"/>
        <v>0</v>
      </c>
      <c r="BY112" s="44">
        <f t="shared" si="78"/>
        <v>0</v>
      </c>
      <c r="BZ112" s="44">
        <f t="shared" si="78"/>
        <v>0</v>
      </c>
      <c r="CA112" s="44">
        <f t="shared" si="78"/>
        <v>0</v>
      </c>
      <c r="CB112" s="44">
        <f t="shared" si="78"/>
        <v>0</v>
      </c>
      <c r="CC112" s="44">
        <f t="shared" si="78"/>
        <v>0</v>
      </c>
      <c r="CD112" s="44">
        <f t="shared" si="78"/>
        <v>0</v>
      </c>
      <c r="CE112" s="46">
        <f t="shared" si="42"/>
        <v>0.35462768516156684</v>
      </c>
      <c r="CF112" s="44">
        <f t="shared" si="43"/>
        <v>6089390</v>
      </c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>
        <f>+'[5]Acuerdo PLAN INVERSIÓN 2021'!$H$6849</f>
        <v>6089390</v>
      </c>
      <c r="DD112" s="46">
        <f t="shared" si="54"/>
        <v>0.64537231483843316</v>
      </c>
      <c r="DE112" s="44">
        <f t="shared" si="79"/>
        <v>11081830</v>
      </c>
      <c r="DF112" s="44">
        <f t="shared" si="80"/>
        <v>0</v>
      </c>
      <c r="DG112" s="44">
        <f t="shared" si="80"/>
        <v>0</v>
      </c>
      <c r="DH112" s="44">
        <f t="shared" si="80"/>
        <v>0</v>
      </c>
      <c r="DI112" s="44">
        <f t="shared" si="80"/>
        <v>0</v>
      </c>
      <c r="DJ112" s="44">
        <f t="shared" si="80"/>
        <v>0</v>
      </c>
      <c r="DK112" s="44">
        <f t="shared" si="80"/>
        <v>0</v>
      </c>
      <c r="DL112" s="44">
        <f t="shared" si="80"/>
        <v>0</v>
      </c>
      <c r="DM112" s="44">
        <f t="shared" si="80"/>
        <v>0</v>
      </c>
      <c r="DN112" s="44">
        <f t="shared" si="80"/>
        <v>0</v>
      </c>
      <c r="DO112" s="44">
        <f t="shared" si="80"/>
        <v>0</v>
      </c>
      <c r="DP112" s="44">
        <f t="shared" si="80"/>
        <v>0</v>
      </c>
      <c r="DQ112" s="44">
        <f t="shared" si="80"/>
        <v>0</v>
      </c>
      <c r="DR112" s="44">
        <f t="shared" si="80"/>
        <v>0</v>
      </c>
      <c r="DS112" s="44">
        <f t="shared" si="80"/>
        <v>0</v>
      </c>
      <c r="DT112" s="44">
        <f t="shared" si="80"/>
        <v>0</v>
      </c>
      <c r="DU112" s="44">
        <f t="shared" si="80"/>
        <v>0</v>
      </c>
      <c r="DV112" s="44">
        <f t="shared" si="81"/>
        <v>0</v>
      </c>
      <c r="DW112" s="44">
        <f t="shared" si="81"/>
        <v>0</v>
      </c>
      <c r="DX112" s="44">
        <f t="shared" si="81"/>
        <v>0</v>
      </c>
      <c r="DY112" s="44">
        <f t="shared" si="81"/>
        <v>0</v>
      </c>
      <c r="DZ112" s="44">
        <f t="shared" si="81"/>
        <v>0</v>
      </c>
      <c r="EA112" s="44">
        <f t="shared" si="81"/>
        <v>0</v>
      </c>
      <c r="EB112" s="44">
        <f t="shared" si="81"/>
        <v>11081830</v>
      </c>
    </row>
    <row r="113" spans="1:132" ht="84" customHeight="1" x14ac:dyDescent="0.25">
      <c r="A113" s="50"/>
      <c r="B113" s="112" t="s">
        <v>325</v>
      </c>
      <c r="C113" s="83" t="s">
        <v>326</v>
      </c>
      <c r="D113" s="41" t="s">
        <v>327</v>
      </c>
      <c r="E113" s="122">
        <v>211</v>
      </c>
      <c r="F113" s="43" t="s">
        <v>328</v>
      </c>
      <c r="G113" s="44">
        <f t="shared" si="76"/>
        <v>646898232</v>
      </c>
      <c r="H113" s="45">
        <v>246000000</v>
      </c>
      <c r="I113" s="45">
        <f t="shared" si="82"/>
        <v>-400898232</v>
      </c>
      <c r="J113" s="78"/>
      <c r="K113" s="44"/>
      <c r="L113" s="44"/>
      <c r="M113" s="44"/>
      <c r="N113" s="44"/>
      <c r="O113" s="44"/>
      <c r="P113" s="44">
        <v>112423035</v>
      </c>
      <c r="Q113" s="44"/>
      <c r="R113" s="44"/>
      <c r="S113" s="44">
        <f>50000000+50000000</f>
        <v>100000000</v>
      </c>
      <c r="T113" s="44"/>
      <c r="U113" s="44"/>
      <c r="V113" s="44">
        <v>47237313</v>
      </c>
      <c r="W113" s="44"/>
      <c r="X113" s="44">
        <v>30000000</v>
      </c>
      <c r="Y113" s="44"/>
      <c r="Z113" s="44"/>
      <c r="AA113" s="44"/>
      <c r="AB113" s="44"/>
      <c r="AC113" s="44"/>
      <c r="AD113" s="44"/>
      <c r="AE113" s="44"/>
      <c r="AF113" s="44">
        <f>160277522+47889326+17926897+26397851+4612278+25750000+1696075+44929933+19283216+8474786</f>
        <v>357237884</v>
      </c>
      <c r="AG113" s="46">
        <f t="shared" si="53"/>
        <v>0.63801557738683079</v>
      </c>
      <c r="AH113" s="44">
        <f t="shared" si="38"/>
        <v>412731149</v>
      </c>
      <c r="AI113" s="44"/>
      <c r="AJ113" s="44"/>
      <c r="AK113" s="44"/>
      <c r="AL113" s="44"/>
      <c r="AM113" s="44"/>
      <c r="AN113" s="44"/>
      <c r="AO113" s="44"/>
      <c r="AP113" s="44"/>
      <c r="AQ113" s="44"/>
      <c r="AR113" s="44">
        <f>+'[9]Acuerdo PLAN INVERSIÓN 2021'!$U$1962</f>
        <v>50000000</v>
      </c>
      <c r="AS113" s="44"/>
      <c r="AT113" s="44"/>
      <c r="AU113" s="44">
        <f>+'[9]Acuerdo PLAN INVERSIÓN 2021'!$P$1962</f>
        <v>47237313</v>
      </c>
      <c r="AV113" s="44"/>
      <c r="AW113" s="44">
        <f>+'[9]Acuerdo PLAN INVERSIÓN 2021'!$Q$1962</f>
        <v>30000000</v>
      </c>
      <c r="AX113" s="44"/>
      <c r="AY113" s="44"/>
      <c r="AZ113" s="44"/>
      <c r="BA113" s="44"/>
      <c r="BB113" s="44"/>
      <c r="BC113" s="44"/>
      <c r="BD113" s="44"/>
      <c r="BE113" s="44">
        <f>+'[6]Acuerdo PLAN INVERSIÓN 2021'!$AF$5879+'[5]Acuerdo PLAN INVERSIÓN 2021'!$G$6911</f>
        <v>285493836</v>
      </c>
      <c r="BF113" s="46">
        <f t="shared" si="55"/>
        <v>0.36198442261316921</v>
      </c>
      <c r="BG113" s="44">
        <f t="shared" si="62"/>
        <v>234167083</v>
      </c>
      <c r="BH113" s="44">
        <f t="shared" si="77"/>
        <v>0</v>
      </c>
      <c r="BI113" s="44">
        <f t="shared" si="77"/>
        <v>0</v>
      </c>
      <c r="BJ113" s="44">
        <f t="shared" si="77"/>
        <v>0</v>
      </c>
      <c r="BK113" s="44">
        <f t="shared" si="77"/>
        <v>0</v>
      </c>
      <c r="BL113" s="44">
        <f t="shared" si="77"/>
        <v>0</v>
      </c>
      <c r="BM113" s="44">
        <f t="shared" si="77"/>
        <v>0</v>
      </c>
      <c r="BN113" s="44">
        <f t="shared" si="77"/>
        <v>112423035</v>
      </c>
      <c r="BO113" s="44">
        <f t="shared" si="77"/>
        <v>0</v>
      </c>
      <c r="BP113" s="44">
        <f t="shared" si="77"/>
        <v>0</v>
      </c>
      <c r="BQ113" s="44">
        <f t="shared" si="77"/>
        <v>50000000</v>
      </c>
      <c r="BR113" s="44">
        <f t="shared" si="77"/>
        <v>0</v>
      </c>
      <c r="BS113" s="44">
        <f t="shared" si="77"/>
        <v>0</v>
      </c>
      <c r="BT113" s="44">
        <f t="shared" si="77"/>
        <v>0</v>
      </c>
      <c r="BU113" s="44">
        <f t="shared" si="77"/>
        <v>0</v>
      </c>
      <c r="BV113" s="44">
        <f t="shared" si="77"/>
        <v>0</v>
      </c>
      <c r="BW113" s="44">
        <f t="shared" ref="BW113:BW128" si="83">+Y113-AX113</f>
        <v>0</v>
      </c>
      <c r="BX113" s="44">
        <f t="shared" si="78"/>
        <v>0</v>
      </c>
      <c r="BY113" s="44">
        <f t="shared" si="78"/>
        <v>0</v>
      </c>
      <c r="BZ113" s="44">
        <f t="shared" si="78"/>
        <v>0</v>
      </c>
      <c r="CA113" s="44">
        <f t="shared" si="78"/>
        <v>0</v>
      </c>
      <c r="CB113" s="44">
        <f t="shared" si="78"/>
        <v>0</v>
      </c>
      <c r="CC113" s="44">
        <f t="shared" si="78"/>
        <v>0</v>
      </c>
      <c r="CD113" s="44">
        <f t="shared" si="78"/>
        <v>71744048</v>
      </c>
      <c r="CE113" s="46">
        <f t="shared" si="42"/>
        <v>0.21193829449204615</v>
      </c>
      <c r="CF113" s="44">
        <f t="shared" si="43"/>
        <v>137102508</v>
      </c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>
        <f>+'[6]Acuerdo PLAN INVERSIÓN 2021'!$H$5880+'[6]Acuerdo PLAN INVERSIÓN 2021'!$H$5891+'[6]Acuerdo PLAN INVERSIÓN 2021'!$H$5896+'[6]Acuerdo PLAN INVERSIÓN 2021'!$H$5899+'[6]Acuerdo PLAN INVERSIÓN 2021'!$H$5906</f>
        <v>137102508</v>
      </c>
      <c r="DD113" s="46">
        <f t="shared" si="54"/>
        <v>0.78806170550795385</v>
      </c>
      <c r="DE113" s="44">
        <f t="shared" si="79"/>
        <v>509795724</v>
      </c>
      <c r="DF113" s="44">
        <f t="shared" si="80"/>
        <v>0</v>
      </c>
      <c r="DG113" s="44">
        <f t="shared" si="80"/>
        <v>0</v>
      </c>
      <c r="DH113" s="44">
        <f t="shared" si="80"/>
        <v>0</v>
      </c>
      <c r="DI113" s="44">
        <f t="shared" si="80"/>
        <v>0</v>
      </c>
      <c r="DJ113" s="44">
        <f t="shared" si="80"/>
        <v>0</v>
      </c>
      <c r="DK113" s="44">
        <f t="shared" si="80"/>
        <v>0</v>
      </c>
      <c r="DL113" s="44">
        <f t="shared" si="80"/>
        <v>112423035</v>
      </c>
      <c r="DM113" s="44">
        <f t="shared" si="80"/>
        <v>0</v>
      </c>
      <c r="DN113" s="44">
        <f t="shared" si="80"/>
        <v>0</v>
      </c>
      <c r="DO113" s="44">
        <f t="shared" si="80"/>
        <v>100000000</v>
      </c>
      <c r="DP113" s="44">
        <f t="shared" si="80"/>
        <v>0</v>
      </c>
      <c r="DQ113" s="44">
        <f t="shared" si="80"/>
        <v>0</v>
      </c>
      <c r="DR113" s="44">
        <f t="shared" si="80"/>
        <v>47237313</v>
      </c>
      <c r="DS113" s="44">
        <f t="shared" si="80"/>
        <v>0</v>
      </c>
      <c r="DT113" s="44">
        <f t="shared" si="80"/>
        <v>30000000</v>
      </c>
      <c r="DU113" s="44">
        <f t="shared" ref="DU113:DU128" si="84">+Y113-CV113</f>
        <v>0</v>
      </c>
      <c r="DV113" s="44">
        <f t="shared" si="81"/>
        <v>0</v>
      </c>
      <c r="DW113" s="44">
        <f t="shared" si="81"/>
        <v>0</v>
      </c>
      <c r="DX113" s="44">
        <f t="shared" si="81"/>
        <v>0</v>
      </c>
      <c r="DY113" s="44">
        <f t="shared" si="81"/>
        <v>0</v>
      </c>
      <c r="DZ113" s="44">
        <f t="shared" si="81"/>
        <v>0</v>
      </c>
      <c r="EA113" s="44">
        <f t="shared" si="81"/>
        <v>0</v>
      </c>
      <c r="EB113" s="44">
        <f t="shared" si="81"/>
        <v>220135376</v>
      </c>
    </row>
    <row r="114" spans="1:132" ht="41.25" customHeight="1" x14ac:dyDescent="0.25">
      <c r="A114" s="50"/>
      <c r="B114" s="117"/>
      <c r="C114" s="83" t="s">
        <v>329</v>
      </c>
      <c r="D114" s="41" t="s">
        <v>330</v>
      </c>
      <c r="E114" s="122">
        <v>211</v>
      </c>
      <c r="F114" s="43" t="s">
        <v>331</v>
      </c>
      <c r="G114" s="44">
        <f t="shared" si="76"/>
        <v>798382610</v>
      </c>
      <c r="H114" s="45">
        <v>700000000</v>
      </c>
      <c r="I114" s="45">
        <f t="shared" si="82"/>
        <v>-98382610</v>
      </c>
      <c r="J114" s="78"/>
      <c r="K114" s="44"/>
      <c r="L114" s="44"/>
      <c r="M114" s="44"/>
      <c r="N114" s="44"/>
      <c r="O114" s="44"/>
      <c r="P114" s="44">
        <v>100000000</v>
      </c>
      <c r="Q114" s="44"/>
      <c r="R114" s="44"/>
      <c r="S114" s="44"/>
      <c r="T114" s="44"/>
      <c r="U114" s="44">
        <v>270000000</v>
      </c>
      <c r="V114" s="44"/>
      <c r="W114" s="44"/>
      <c r="X114" s="44"/>
      <c r="Y114" s="44"/>
      <c r="Z114" s="44"/>
      <c r="AA114" s="44">
        <v>360316000</v>
      </c>
      <c r="AB114" s="44"/>
      <c r="AC114" s="44"/>
      <c r="AD114" s="44"/>
      <c r="AE114" s="44"/>
      <c r="AF114" s="44">
        <f>17234367+423225+16000000+34409018</f>
        <v>68066610</v>
      </c>
      <c r="AG114" s="46">
        <f t="shared" si="53"/>
        <v>0.94320694059205523</v>
      </c>
      <c r="AH114" s="44">
        <f t="shared" si="38"/>
        <v>753040019</v>
      </c>
      <c r="AI114" s="44"/>
      <c r="AJ114" s="44"/>
      <c r="AK114" s="44"/>
      <c r="AL114" s="44"/>
      <c r="AM114" s="44"/>
      <c r="AN114" s="44"/>
      <c r="AO114" s="44">
        <f>+'[9]Acuerdo PLAN INVERSIÓN 2021'!$Z$1978</f>
        <v>100000000</v>
      </c>
      <c r="AP114" s="44"/>
      <c r="AQ114" s="44"/>
      <c r="AR114" s="44"/>
      <c r="AS114" s="44"/>
      <c r="AT114" s="44">
        <f>+'[9]Acuerdo PLAN INVERSIÓN 2021'!$O$1978</f>
        <v>270000000</v>
      </c>
      <c r="AU114" s="44"/>
      <c r="AV114" s="44"/>
      <c r="AW114" s="44"/>
      <c r="AX114" s="44"/>
      <c r="AY114" s="44"/>
      <c r="AZ114" s="44">
        <f>+'[5]Acuerdo PLAN INVERSIÓN 2021'!$X$6915</f>
        <v>319973409</v>
      </c>
      <c r="BA114" s="44"/>
      <c r="BB114" s="44"/>
      <c r="BC114" s="44"/>
      <c r="BD114" s="44"/>
      <c r="BE114" s="44">
        <f>+'[5]Acuerdo PLAN INVERSIÓN 2021'!$AF$6915</f>
        <v>63066610</v>
      </c>
      <c r="BF114" s="46">
        <f t="shared" si="55"/>
        <v>5.6793059407944768E-2</v>
      </c>
      <c r="BG114" s="44">
        <f t="shared" si="62"/>
        <v>45342591</v>
      </c>
      <c r="BH114" s="44">
        <f t="shared" ref="BH114:BV128" si="85">+J114-AI114</f>
        <v>0</v>
      </c>
      <c r="BI114" s="44">
        <f t="shared" si="85"/>
        <v>0</v>
      </c>
      <c r="BJ114" s="44">
        <f t="shared" si="85"/>
        <v>0</v>
      </c>
      <c r="BK114" s="44">
        <f t="shared" si="85"/>
        <v>0</v>
      </c>
      <c r="BL114" s="44">
        <f t="shared" si="85"/>
        <v>0</v>
      </c>
      <c r="BM114" s="44">
        <f t="shared" si="85"/>
        <v>0</v>
      </c>
      <c r="BN114" s="44">
        <f t="shared" si="85"/>
        <v>0</v>
      </c>
      <c r="BO114" s="44">
        <f t="shared" si="85"/>
        <v>0</v>
      </c>
      <c r="BP114" s="44">
        <f t="shared" si="85"/>
        <v>0</v>
      </c>
      <c r="BQ114" s="44">
        <f t="shared" si="85"/>
        <v>0</v>
      </c>
      <c r="BR114" s="44">
        <f t="shared" si="85"/>
        <v>0</v>
      </c>
      <c r="BS114" s="44">
        <f t="shared" si="85"/>
        <v>0</v>
      </c>
      <c r="BT114" s="44">
        <f t="shared" si="85"/>
        <v>0</v>
      </c>
      <c r="BU114" s="44">
        <f t="shared" si="85"/>
        <v>0</v>
      </c>
      <c r="BV114" s="44">
        <f t="shared" si="85"/>
        <v>0</v>
      </c>
      <c r="BW114" s="44">
        <f t="shared" si="83"/>
        <v>0</v>
      </c>
      <c r="BX114" s="44">
        <f t="shared" si="78"/>
        <v>0</v>
      </c>
      <c r="BY114" s="44">
        <f t="shared" si="78"/>
        <v>40342591</v>
      </c>
      <c r="BZ114" s="44">
        <f t="shared" si="78"/>
        <v>0</v>
      </c>
      <c r="CA114" s="44">
        <f t="shared" si="78"/>
        <v>0</v>
      </c>
      <c r="CB114" s="44">
        <f t="shared" si="78"/>
        <v>0</v>
      </c>
      <c r="CC114" s="44">
        <f t="shared" si="78"/>
        <v>0</v>
      </c>
      <c r="CD114" s="44">
        <f t="shared" si="78"/>
        <v>5000000</v>
      </c>
      <c r="CE114" s="46">
        <f t="shared" si="42"/>
        <v>0.84400736133268228</v>
      </c>
      <c r="CF114" s="44">
        <f t="shared" si="43"/>
        <v>673840800</v>
      </c>
      <c r="CG114" s="44"/>
      <c r="CH114" s="44"/>
      <c r="CI114" s="44"/>
      <c r="CJ114" s="44"/>
      <c r="CK114" s="44"/>
      <c r="CL114" s="44"/>
      <c r="CM114" s="44">
        <f>+'[3]Acuerdo PLAN INVERSIÓN 2021'!$Z$3506</f>
        <v>100000000</v>
      </c>
      <c r="CN114" s="44"/>
      <c r="CO114" s="44"/>
      <c r="CP114" s="44"/>
      <c r="CQ114" s="44"/>
      <c r="CR114" s="44">
        <f>+'[3]Acuerdo PLAN INVERSIÓN 2021'!$O$3506</f>
        <v>270000000</v>
      </c>
      <c r="CS114" s="44"/>
      <c r="CT114" s="44"/>
      <c r="CU114" s="44"/>
      <c r="CV114" s="44"/>
      <c r="CW114" s="44"/>
      <c r="CX114" s="44">
        <f>+'[3]Acuerdo PLAN INVERSIÓN 2021'!$X$3506+'[5]Acuerdo PLAN INVERSIÓN 2021'!$H$6927</f>
        <v>303840800</v>
      </c>
      <c r="CY114" s="44"/>
      <c r="CZ114" s="44"/>
      <c r="DA114" s="44"/>
      <c r="DB114" s="44"/>
      <c r="DC114" s="44"/>
      <c r="DD114" s="46">
        <f t="shared" si="54"/>
        <v>0.15599263866731772</v>
      </c>
      <c r="DE114" s="44">
        <f t="shared" si="79"/>
        <v>124541810</v>
      </c>
      <c r="DF114" s="44">
        <f t="shared" ref="DF114:DT128" si="86">+J114-CG114</f>
        <v>0</v>
      </c>
      <c r="DG114" s="44">
        <f t="shared" si="86"/>
        <v>0</v>
      </c>
      <c r="DH114" s="44">
        <f t="shared" si="86"/>
        <v>0</v>
      </c>
      <c r="DI114" s="44">
        <f t="shared" si="86"/>
        <v>0</v>
      </c>
      <c r="DJ114" s="44">
        <f t="shared" si="86"/>
        <v>0</v>
      </c>
      <c r="DK114" s="44">
        <f t="shared" si="86"/>
        <v>0</v>
      </c>
      <c r="DL114" s="44">
        <f t="shared" si="86"/>
        <v>0</v>
      </c>
      <c r="DM114" s="44">
        <f t="shared" si="86"/>
        <v>0</v>
      </c>
      <c r="DN114" s="44">
        <f t="shared" si="86"/>
        <v>0</v>
      </c>
      <c r="DO114" s="44">
        <f t="shared" si="86"/>
        <v>0</v>
      </c>
      <c r="DP114" s="44">
        <f t="shared" si="86"/>
        <v>0</v>
      </c>
      <c r="DQ114" s="44">
        <f t="shared" si="86"/>
        <v>0</v>
      </c>
      <c r="DR114" s="44">
        <f t="shared" si="86"/>
        <v>0</v>
      </c>
      <c r="DS114" s="44">
        <f t="shared" si="86"/>
        <v>0</v>
      </c>
      <c r="DT114" s="44">
        <f t="shared" si="86"/>
        <v>0</v>
      </c>
      <c r="DU114" s="44">
        <f t="shared" si="84"/>
        <v>0</v>
      </c>
      <c r="DV114" s="44">
        <f t="shared" si="81"/>
        <v>0</v>
      </c>
      <c r="DW114" s="44">
        <f t="shared" si="81"/>
        <v>56475200</v>
      </c>
      <c r="DX114" s="44">
        <f t="shared" si="81"/>
        <v>0</v>
      </c>
      <c r="DY114" s="44">
        <f t="shared" si="81"/>
        <v>0</v>
      </c>
      <c r="DZ114" s="44">
        <f t="shared" si="81"/>
        <v>0</v>
      </c>
      <c r="EA114" s="44">
        <f t="shared" si="81"/>
        <v>0</v>
      </c>
      <c r="EB114" s="44">
        <f t="shared" si="81"/>
        <v>68066610</v>
      </c>
    </row>
    <row r="115" spans="1:132" ht="32.25" customHeight="1" x14ac:dyDescent="0.25">
      <c r="A115" s="50"/>
      <c r="B115" s="77" t="s">
        <v>332</v>
      </c>
      <c r="C115" s="83" t="s">
        <v>333</v>
      </c>
      <c r="D115" s="54" t="s">
        <v>334</v>
      </c>
      <c r="E115" s="122">
        <v>211</v>
      </c>
      <c r="F115" s="43" t="s">
        <v>335</v>
      </c>
      <c r="G115" s="44">
        <f t="shared" si="76"/>
        <v>795694116</v>
      </c>
      <c r="H115" s="45">
        <v>585000000</v>
      </c>
      <c r="I115" s="45">
        <f t="shared" si="82"/>
        <v>-210694116</v>
      </c>
      <c r="J115" s="44">
        <f>226181133+60000000+288480447</f>
        <v>574661580</v>
      </c>
      <c r="K115" s="44">
        <f>60000000-14686000</f>
        <v>45314000</v>
      </c>
      <c r="L115" s="44"/>
      <c r="M115" s="44">
        <v>718536</v>
      </c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>
        <v>150000000</v>
      </c>
      <c r="AB115" s="44"/>
      <c r="AC115" s="44"/>
      <c r="AD115" s="44"/>
      <c r="AE115" s="44"/>
      <c r="AF115" s="44">
        <f>5000000+20000000</f>
        <v>25000000</v>
      </c>
      <c r="AG115" s="46">
        <f t="shared" si="53"/>
        <v>0.637381170479838</v>
      </c>
      <c r="AH115" s="44">
        <f t="shared" ref="AH115:AH128" si="87">SUM(AI115:BE115)</f>
        <v>507160447</v>
      </c>
      <c r="AI115" s="44">
        <f>+'[6]Acuerdo PLAN INVERSIÓN 2021'!$L$5934</f>
        <v>288480447</v>
      </c>
      <c r="AJ115" s="44">
        <f>+'[3]Acuerdo PLAN INVERSIÓN 2021'!$H$3523+'[3]Acuerdo PLAN INVERSIÓN 2021'!$H$3532</f>
        <v>43700000</v>
      </c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>
        <f>+'[9]Acuerdo PLAN INVERSIÓN 2021'!$X$1988</f>
        <v>150000000</v>
      </c>
      <c r="BA115" s="44"/>
      <c r="BB115" s="44"/>
      <c r="BC115" s="44"/>
      <c r="BD115" s="44"/>
      <c r="BE115" s="44">
        <f>+'[6]Acuerdo PLAN INVERSIÓN 2021'!$AF$5934</f>
        <v>24980000</v>
      </c>
      <c r="BF115" s="46">
        <f t="shared" si="55"/>
        <v>0.362618829520162</v>
      </c>
      <c r="BG115" s="44">
        <f t="shared" si="62"/>
        <v>288533669</v>
      </c>
      <c r="BH115" s="44">
        <f t="shared" si="85"/>
        <v>286181133</v>
      </c>
      <c r="BI115" s="44">
        <f t="shared" si="85"/>
        <v>1614000</v>
      </c>
      <c r="BJ115" s="44">
        <f t="shared" si="85"/>
        <v>0</v>
      </c>
      <c r="BK115" s="44">
        <f t="shared" si="85"/>
        <v>718536</v>
      </c>
      <c r="BL115" s="44">
        <f t="shared" si="85"/>
        <v>0</v>
      </c>
      <c r="BM115" s="44">
        <f t="shared" si="85"/>
        <v>0</v>
      </c>
      <c r="BN115" s="44">
        <f t="shared" si="85"/>
        <v>0</v>
      </c>
      <c r="BO115" s="44">
        <f t="shared" si="85"/>
        <v>0</v>
      </c>
      <c r="BP115" s="44">
        <f t="shared" si="85"/>
        <v>0</v>
      </c>
      <c r="BQ115" s="44">
        <f t="shared" si="85"/>
        <v>0</v>
      </c>
      <c r="BR115" s="44">
        <f t="shared" si="85"/>
        <v>0</v>
      </c>
      <c r="BS115" s="44">
        <f t="shared" si="85"/>
        <v>0</v>
      </c>
      <c r="BT115" s="44">
        <f t="shared" si="85"/>
        <v>0</v>
      </c>
      <c r="BU115" s="44">
        <f t="shared" si="85"/>
        <v>0</v>
      </c>
      <c r="BV115" s="44">
        <f t="shared" si="85"/>
        <v>0</v>
      </c>
      <c r="BW115" s="44">
        <f t="shared" si="83"/>
        <v>0</v>
      </c>
      <c r="BX115" s="44">
        <f t="shared" si="78"/>
        <v>0</v>
      </c>
      <c r="BY115" s="44">
        <f t="shared" si="78"/>
        <v>0</v>
      </c>
      <c r="BZ115" s="44">
        <f t="shared" si="78"/>
        <v>0</v>
      </c>
      <c r="CA115" s="44">
        <f t="shared" si="78"/>
        <v>0</v>
      </c>
      <c r="CB115" s="44">
        <f t="shared" si="78"/>
        <v>0</v>
      </c>
      <c r="CC115" s="44">
        <f t="shared" si="78"/>
        <v>0</v>
      </c>
      <c r="CD115" s="44">
        <f t="shared" si="78"/>
        <v>20000</v>
      </c>
      <c r="CE115" s="46">
        <f t="shared" ref="CE115:CE129" si="88">CF115/G115</f>
        <v>0.21970000089833516</v>
      </c>
      <c r="CF115" s="44">
        <f t="shared" ref="CF115:CF128" si="89">SUM(CG115:DC115)</f>
        <v>174813998</v>
      </c>
      <c r="CG115" s="44"/>
      <c r="CH115" s="44">
        <f>+'[3]Acuerdo PLAN INVERSIÓN 2021'!$H$3523+'[3]Acuerdo PLAN INVERSIÓN 2021'!$H$3532</f>
        <v>43700000</v>
      </c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>
        <f>+'[3]Acuerdo PLAN INVERSIÓN 2021'!$H$3520</f>
        <v>106500000</v>
      </c>
      <c r="CY115" s="44"/>
      <c r="CZ115" s="44"/>
      <c r="DA115" s="44"/>
      <c r="DB115" s="44"/>
      <c r="DC115" s="44">
        <f>+'[2]Acuerdo PLAN INVERSIÓN 2021'!$H$4073+'[2]Acuerdo PLAN INVERSIÓN 2021'!$H$4076+'[2]Acuerdo PLAN INVERSIÓN 2021'!$H$4079+'[5]Acuerdo PLAN INVERSIÓN 2021'!$H$6960</f>
        <v>24613998</v>
      </c>
      <c r="DD115" s="46">
        <f t="shared" si="54"/>
        <v>0.78029999910166481</v>
      </c>
      <c r="DE115" s="44">
        <f t="shared" si="79"/>
        <v>620880118</v>
      </c>
      <c r="DF115" s="44">
        <f t="shared" si="86"/>
        <v>574661580</v>
      </c>
      <c r="DG115" s="44">
        <f t="shared" si="86"/>
        <v>1614000</v>
      </c>
      <c r="DH115" s="44">
        <f t="shared" si="86"/>
        <v>0</v>
      </c>
      <c r="DI115" s="44">
        <f t="shared" si="86"/>
        <v>718536</v>
      </c>
      <c r="DJ115" s="44">
        <f t="shared" si="86"/>
        <v>0</v>
      </c>
      <c r="DK115" s="44">
        <f t="shared" si="86"/>
        <v>0</v>
      </c>
      <c r="DL115" s="44">
        <f t="shared" si="86"/>
        <v>0</v>
      </c>
      <c r="DM115" s="44">
        <f t="shared" si="86"/>
        <v>0</v>
      </c>
      <c r="DN115" s="44">
        <f t="shared" si="86"/>
        <v>0</v>
      </c>
      <c r="DO115" s="44">
        <f t="shared" si="86"/>
        <v>0</v>
      </c>
      <c r="DP115" s="44">
        <f t="shared" si="86"/>
        <v>0</v>
      </c>
      <c r="DQ115" s="44">
        <f t="shared" si="86"/>
        <v>0</v>
      </c>
      <c r="DR115" s="44">
        <f t="shared" si="86"/>
        <v>0</v>
      </c>
      <c r="DS115" s="44">
        <f t="shared" si="86"/>
        <v>0</v>
      </c>
      <c r="DT115" s="44">
        <f t="shared" si="86"/>
        <v>0</v>
      </c>
      <c r="DU115" s="44">
        <f t="shared" si="84"/>
        <v>0</v>
      </c>
      <c r="DV115" s="44">
        <f t="shared" si="81"/>
        <v>0</v>
      </c>
      <c r="DW115" s="44">
        <f t="shared" si="81"/>
        <v>43500000</v>
      </c>
      <c r="DX115" s="44">
        <f t="shared" si="81"/>
        <v>0</v>
      </c>
      <c r="DY115" s="44">
        <f t="shared" si="81"/>
        <v>0</v>
      </c>
      <c r="DZ115" s="44">
        <f t="shared" si="81"/>
        <v>0</v>
      </c>
      <c r="EA115" s="44">
        <f t="shared" si="81"/>
        <v>0</v>
      </c>
      <c r="EB115" s="44">
        <f t="shared" si="81"/>
        <v>386002</v>
      </c>
    </row>
    <row r="116" spans="1:132" ht="30" customHeight="1" x14ac:dyDescent="0.25">
      <c r="A116" s="50"/>
      <c r="B116" s="84"/>
      <c r="C116" s="83" t="s">
        <v>336</v>
      </c>
      <c r="D116" s="54" t="s">
        <v>337</v>
      </c>
      <c r="E116" s="122">
        <v>211</v>
      </c>
      <c r="F116" s="43" t="s">
        <v>240</v>
      </c>
      <c r="G116" s="44">
        <f t="shared" si="76"/>
        <v>90000000</v>
      </c>
      <c r="H116" s="45">
        <v>380000000</v>
      </c>
      <c r="I116" s="45">
        <f t="shared" si="82"/>
        <v>290000000</v>
      </c>
      <c r="J116" s="78"/>
      <c r="K116" s="44">
        <v>45000000</v>
      </c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>
        <f>15000000+30000000</f>
        <v>45000000</v>
      </c>
      <c r="AB116" s="44"/>
      <c r="AC116" s="44"/>
      <c r="AD116" s="44"/>
      <c r="AE116" s="44"/>
      <c r="AF116" s="44"/>
      <c r="AG116" s="46">
        <f t="shared" si="53"/>
        <v>0.99438888888888888</v>
      </c>
      <c r="AH116" s="44">
        <f t="shared" si="87"/>
        <v>89495000</v>
      </c>
      <c r="AI116" s="44"/>
      <c r="AJ116" s="44">
        <f>+'[10]Acuerdo PLAN INVERSIÓN 2021'!$J$1060</f>
        <v>44495000</v>
      </c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>
        <f>+'[2]Acuerdo PLAN INVERSIÓN 2021'!$X$4087</f>
        <v>45000000</v>
      </c>
      <c r="BA116" s="44"/>
      <c r="BB116" s="44"/>
      <c r="BC116" s="44"/>
      <c r="BD116" s="44"/>
      <c r="BE116" s="44"/>
      <c r="BF116" s="46">
        <f t="shared" si="55"/>
        <v>5.6111111111111223E-3</v>
      </c>
      <c r="BG116" s="44">
        <f t="shared" si="62"/>
        <v>505000</v>
      </c>
      <c r="BH116" s="44">
        <f t="shared" si="85"/>
        <v>0</v>
      </c>
      <c r="BI116" s="44">
        <f t="shared" si="85"/>
        <v>505000</v>
      </c>
      <c r="BJ116" s="44">
        <f t="shared" si="85"/>
        <v>0</v>
      </c>
      <c r="BK116" s="44">
        <f t="shared" si="85"/>
        <v>0</v>
      </c>
      <c r="BL116" s="44">
        <f t="shared" si="85"/>
        <v>0</v>
      </c>
      <c r="BM116" s="44">
        <f t="shared" si="85"/>
        <v>0</v>
      </c>
      <c r="BN116" s="44">
        <f t="shared" si="85"/>
        <v>0</v>
      </c>
      <c r="BO116" s="44">
        <f t="shared" si="85"/>
        <v>0</v>
      </c>
      <c r="BP116" s="44">
        <f t="shared" si="85"/>
        <v>0</v>
      </c>
      <c r="BQ116" s="44">
        <f t="shared" si="85"/>
        <v>0</v>
      </c>
      <c r="BR116" s="44">
        <f t="shared" si="85"/>
        <v>0</v>
      </c>
      <c r="BS116" s="44">
        <f t="shared" si="85"/>
        <v>0</v>
      </c>
      <c r="BT116" s="44">
        <f t="shared" si="85"/>
        <v>0</v>
      </c>
      <c r="BU116" s="44">
        <f t="shared" si="85"/>
        <v>0</v>
      </c>
      <c r="BV116" s="44">
        <f t="shared" si="85"/>
        <v>0</v>
      </c>
      <c r="BW116" s="44">
        <f t="shared" si="83"/>
        <v>0</v>
      </c>
      <c r="BX116" s="44">
        <f t="shared" si="78"/>
        <v>0</v>
      </c>
      <c r="BY116" s="44">
        <f t="shared" si="78"/>
        <v>0</v>
      </c>
      <c r="BZ116" s="44">
        <f t="shared" si="78"/>
        <v>0</v>
      </c>
      <c r="CA116" s="44">
        <f t="shared" si="78"/>
        <v>0</v>
      </c>
      <c r="CB116" s="44">
        <f t="shared" si="78"/>
        <v>0</v>
      </c>
      <c r="CC116" s="44">
        <f t="shared" si="78"/>
        <v>0</v>
      </c>
      <c r="CD116" s="44">
        <f t="shared" si="78"/>
        <v>0</v>
      </c>
      <c r="CE116" s="46">
        <f t="shared" si="88"/>
        <v>0.969858</v>
      </c>
      <c r="CF116" s="44">
        <f t="shared" si="89"/>
        <v>87287220</v>
      </c>
      <c r="CG116" s="44"/>
      <c r="CH116" s="44">
        <f>+'[8]Acuerdo PLAN INVERSIÓN 2021'!$H$1327</f>
        <v>44457860</v>
      </c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>
        <f>+'[1]Acuerdo PLAN INVERSIÓN 2021'!$H$4953+'[1]Acuerdo PLAN INVERSIÓN 2021'!$H$4959</f>
        <v>42829360</v>
      </c>
      <c r="CY116" s="44"/>
      <c r="CZ116" s="44"/>
      <c r="DA116" s="44"/>
      <c r="DB116" s="44"/>
      <c r="DC116" s="44"/>
      <c r="DD116" s="46">
        <f t="shared" si="54"/>
        <v>3.0142000000000002E-2</v>
      </c>
      <c r="DE116" s="44">
        <f t="shared" si="79"/>
        <v>2712780</v>
      </c>
      <c r="DF116" s="44">
        <f t="shared" si="86"/>
        <v>0</v>
      </c>
      <c r="DG116" s="44">
        <f t="shared" si="86"/>
        <v>542140</v>
      </c>
      <c r="DH116" s="44">
        <f t="shared" si="86"/>
        <v>0</v>
      </c>
      <c r="DI116" s="44">
        <f t="shared" si="86"/>
        <v>0</v>
      </c>
      <c r="DJ116" s="44">
        <f t="shared" si="86"/>
        <v>0</v>
      </c>
      <c r="DK116" s="44">
        <f t="shared" si="86"/>
        <v>0</v>
      </c>
      <c r="DL116" s="44">
        <f t="shared" si="86"/>
        <v>0</v>
      </c>
      <c r="DM116" s="44">
        <f t="shared" si="86"/>
        <v>0</v>
      </c>
      <c r="DN116" s="44">
        <f t="shared" si="86"/>
        <v>0</v>
      </c>
      <c r="DO116" s="44">
        <f t="shared" si="86"/>
        <v>0</v>
      </c>
      <c r="DP116" s="44">
        <f t="shared" si="86"/>
        <v>0</v>
      </c>
      <c r="DQ116" s="44">
        <f t="shared" si="86"/>
        <v>0</v>
      </c>
      <c r="DR116" s="44">
        <f t="shared" si="86"/>
        <v>0</v>
      </c>
      <c r="DS116" s="44">
        <f t="shared" si="86"/>
        <v>0</v>
      </c>
      <c r="DT116" s="44">
        <f t="shared" si="86"/>
        <v>0</v>
      </c>
      <c r="DU116" s="44">
        <f t="shared" si="84"/>
        <v>0</v>
      </c>
      <c r="DV116" s="44">
        <f t="shared" si="81"/>
        <v>0</v>
      </c>
      <c r="DW116" s="44">
        <f t="shared" si="81"/>
        <v>2170640</v>
      </c>
      <c r="DX116" s="44">
        <f t="shared" si="81"/>
        <v>0</v>
      </c>
      <c r="DY116" s="44">
        <f t="shared" si="81"/>
        <v>0</v>
      </c>
      <c r="DZ116" s="44">
        <f t="shared" si="81"/>
        <v>0</v>
      </c>
      <c r="EA116" s="44">
        <f t="shared" si="81"/>
        <v>0</v>
      </c>
      <c r="EB116" s="44">
        <f t="shared" si="81"/>
        <v>0</v>
      </c>
    </row>
    <row r="117" spans="1:132" ht="18" customHeight="1" x14ac:dyDescent="0.25">
      <c r="A117" s="50"/>
      <c r="B117" s="84"/>
      <c r="C117" s="83" t="s">
        <v>338</v>
      </c>
      <c r="D117" s="54" t="s">
        <v>339</v>
      </c>
      <c r="E117" s="122">
        <v>211</v>
      </c>
      <c r="F117" s="43" t="s">
        <v>240</v>
      </c>
      <c r="G117" s="44">
        <f t="shared" si="76"/>
        <v>135400000</v>
      </c>
      <c r="H117" s="45">
        <v>231000000</v>
      </c>
      <c r="I117" s="45">
        <f t="shared" si="82"/>
        <v>95600000</v>
      </c>
      <c r="J117" s="78"/>
      <c r="K117" s="44">
        <v>55000000</v>
      </c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>
        <f>40400000+40000000</f>
        <v>80400000</v>
      </c>
      <c r="AB117" s="44"/>
      <c r="AC117" s="44"/>
      <c r="AD117" s="44"/>
      <c r="AE117" s="44"/>
      <c r="AF117" s="44"/>
      <c r="AG117" s="46">
        <f t="shared" si="53"/>
        <v>0.99945607828655836</v>
      </c>
      <c r="AH117" s="44">
        <f t="shared" si="87"/>
        <v>135326353</v>
      </c>
      <c r="AI117" s="44"/>
      <c r="AJ117" s="44">
        <f>+'[2]Acuerdo PLAN INVERSIÓN 2021'!$J$4104</f>
        <v>54926353</v>
      </c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>
        <f>+'[2]Acuerdo PLAN INVERSIÓN 2021'!$X$4104</f>
        <v>80400000</v>
      </c>
      <c r="BA117" s="44"/>
      <c r="BB117" s="44"/>
      <c r="BC117" s="44"/>
      <c r="BD117" s="44"/>
      <c r="BE117" s="44"/>
      <c r="BF117" s="46">
        <f t="shared" si="55"/>
        <v>5.4392171344164186E-4</v>
      </c>
      <c r="BG117" s="44">
        <f t="shared" si="62"/>
        <v>73647</v>
      </c>
      <c r="BH117" s="44">
        <f t="shared" si="85"/>
        <v>0</v>
      </c>
      <c r="BI117" s="44">
        <f t="shared" si="85"/>
        <v>73647</v>
      </c>
      <c r="BJ117" s="44">
        <f t="shared" si="85"/>
        <v>0</v>
      </c>
      <c r="BK117" s="44">
        <f t="shared" si="85"/>
        <v>0</v>
      </c>
      <c r="BL117" s="44">
        <f t="shared" si="85"/>
        <v>0</v>
      </c>
      <c r="BM117" s="44">
        <f t="shared" si="85"/>
        <v>0</v>
      </c>
      <c r="BN117" s="44">
        <f t="shared" si="85"/>
        <v>0</v>
      </c>
      <c r="BO117" s="44">
        <f t="shared" si="85"/>
        <v>0</v>
      </c>
      <c r="BP117" s="44">
        <f t="shared" si="85"/>
        <v>0</v>
      </c>
      <c r="BQ117" s="44">
        <f t="shared" si="85"/>
        <v>0</v>
      </c>
      <c r="BR117" s="44">
        <f t="shared" si="85"/>
        <v>0</v>
      </c>
      <c r="BS117" s="44">
        <f t="shared" si="85"/>
        <v>0</v>
      </c>
      <c r="BT117" s="44">
        <f t="shared" si="85"/>
        <v>0</v>
      </c>
      <c r="BU117" s="44">
        <f t="shared" si="85"/>
        <v>0</v>
      </c>
      <c r="BV117" s="44">
        <f t="shared" si="85"/>
        <v>0</v>
      </c>
      <c r="BW117" s="44">
        <f t="shared" si="83"/>
        <v>0</v>
      </c>
      <c r="BX117" s="44">
        <f t="shared" si="78"/>
        <v>0</v>
      </c>
      <c r="BY117" s="44">
        <f t="shared" si="78"/>
        <v>0</v>
      </c>
      <c r="BZ117" s="44">
        <f t="shared" si="78"/>
        <v>0</v>
      </c>
      <c r="CA117" s="44">
        <f t="shared" si="78"/>
        <v>0</v>
      </c>
      <c r="CB117" s="44">
        <f t="shared" si="78"/>
        <v>0</v>
      </c>
      <c r="CC117" s="44">
        <f t="shared" si="78"/>
        <v>0</v>
      </c>
      <c r="CD117" s="44">
        <f t="shared" si="78"/>
        <v>0</v>
      </c>
      <c r="CE117" s="46">
        <f t="shared" si="88"/>
        <v>0.90947675775480064</v>
      </c>
      <c r="CF117" s="44">
        <f t="shared" si="89"/>
        <v>123143153</v>
      </c>
      <c r="CG117" s="44"/>
      <c r="CH117" s="44">
        <f>+'[8]Acuerdo PLAN INVERSIÓN 2021'!$H$1336</f>
        <v>54909740</v>
      </c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>
        <f>+'[1]Acuerdo PLAN INVERSIÓN 2021'!$H$4974+'[1]Acuerdo PLAN INVERSIÓN 2021'!$H$4983</f>
        <v>68233413</v>
      </c>
      <c r="CY117" s="44"/>
      <c r="CZ117" s="44"/>
      <c r="DA117" s="44"/>
      <c r="DB117" s="44"/>
      <c r="DC117" s="44"/>
      <c r="DD117" s="46">
        <f t="shared" si="54"/>
        <v>9.0523242245199365E-2</v>
      </c>
      <c r="DE117" s="44">
        <f t="shared" si="79"/>
        <v>12256847</v>
      </c>
      <c r="DF117" s="44">
        <f t="shared" si="86"/>
        <v>0</v>
      </c>
      <c r="DG117" s="44">
        <f t="shared" si="86"/>
        <v>90260</v>
      </c>
      <c r="DH117" s="44">
        <f t="shared" si="86"/>
        <v>0</v>
      </c>
      <c r="DI117" s="44">
        <f t="shared" si="86"/>
        <v>0</v>
      </c>
      <c r="DJ117" s="44">
        <f t="shared" si="86"/>
        <v>0</v>
      </c>
      <c r="DK117" s="44">
        <f t="shared" si="86"/>
        <v>0</v>
      </c>
      <c r="DL117" s="44">
        <f t="shared" si="86"/>
        <v>0</v>
      </c>
      <c r="DM117" s="44">
        <f t="shared" si="86"/>
        <v>0</v>
      </c>
      <c r="DN117" s="44">
        <f t="shared" si="86"/>
        <v>0</v>
      </c>
      <c r="DO117" s="44">
        <f t="shared" si="86"/>
        <v>0</v>
      </c>
      <c r="DP117" s="44">
        <f t="shared" si="86"/>
        <v>0</v>
      </c>
      <c r="DQ117" s="44">
        <f t="shared" si="86"/>
        <v>0</v>
      </c>
      <c r="DR117" s="44">
        <f t="shared" si="86"/>
        <v>0</v>
      </c>
      <c r="DS117" s="44">
        <f t="shared" si="86"/>
        <v>0</v>
      </c>
      <c r="DT117" s="44">
        <f t="shared" si="86"/>
        <v>0</v>
      </c>
      <c r="DU117" s="44">
        <f t="shared" si="84"/>
        <v>0</v>
      </c>
      <c r="DV117" s="44">
        <f t="shared" si="81"/>
        <v>0</v>
      </c>
      <c r="DW117" s="44">
        <f t="shared" si="81"/>
        <v>12166587</v>
      </c>
      <c r="DX117" s="44">
        <f t="shared" si="81"/>
        <v>0</v>
      </c>
      <c r="DY117" s="44">
        <f t="shared" si="81"/>
        <v>0</v>
      </c>
      <c r="DZ117" s="44">
        <f t="shared" si="81"/>
        <v>0</v>
      </c>
      <c r="EA117" s="44">
        <f t="shared" si="81"/>
        <v>0</v>
      </c>
      <c r="EB117" s="44">
        <f t="shared" si="81"/>
        <v>0</v>
      </c>
    </row>
    <row r="118" spans="1:132" ht="19.5" customHeight="1" x14ac:dyDescent="0.25">
      <c r="A118" s="50"/>
      <c r="B118" s="84"/>
      <c r="C118" s="83" t="s">
        <v>340</v>
      </c>
      <c r="D118" s="54" t="s">
        <v>341</v>
      </c>
      <c r="E118" s="122">
        <v>211</v>
      </c>
      <c r="F118" s="43" t="s">
        <v>240</v>
      </c>
      <c r="G118" s="44">
        <f t="shared" si="76"/>
        <v>489600000</v>
      </c>
      <c r="H118" s="45">
        <v>416500000</v>
      </c>
      <c r="I118" s="45">
        <f t="shared" si="82"/>
        <v>-73100000</v>
      </c>
      <c r="J118" s="78"/>
      <c r="K118" s="44">
        <v>200000000</v>
      </c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>
        <f>165000000-15000000-40400000+90000000</f>
        <v>199600000</v>
      </c>
      <c r="AB118" s="44">
        <v>90000000</v>
      </c>
      <c r="AC118" s="44"/>
      <c r="AD118" s="44"/>
      <c r="AE118" s="44"/>
      <c r="AF118" s="44"/>
      <c r="AG118" s="46">
        <f t="shared" si="53"/>
        <v>1</v>
      </c>
      <c r="AH118" s="44">
        <f t="shared" si="87"/>
        <v>489600000</v>
      </c>
      <c r="AI118" s="44"/>
      <c r="AJ118" s="44">
        <f>+'[4]Acuerdo PLAN INVERSIÓN 2021'!$J$2944</f>
        <v>200000000</v>
      </c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>
        <f>+'[2]Acuerdo PLAN INVERSIÓN 2021'!$X$4124</f>
        <v>199600000</v>
      </c>
      <c r="BA118" s="44">
        <f>+'[2]Acuerdo PLAN INVERSIÓN 2021'!$Y$4124</f>
        <v>90000000</v>
      </c>
      <c r="BB118" s="44"/>
      <c r="BC118" s="44"/>
      <c r="BD118" s="44"/>
      <c r="BE118" s="44"/>
      <c r="BF118" s="46">
        <f t="shared" si="55"/>
        <v>0</v>
      </c>
      <c r="BG118" s="44">
        <f t="shared" si="62"/>
        <v>0</v>
      </c>
      <c r="BH118" s="44">
        <f t="shared" si="85"/>
        <v>0</v>
      </c>
      <c r="BI118" s="44">
        <f t="shared" si="85"/>
        <v>0</v>
      </c>
      <c r="BJ118" s="44">
        <f t="shared" si="85"/>
        <v>0</v>
      </c>
      <c r="BK118" s="44">
        <f t="shared" si="85"/>
        <v>0</v>
      </c>
      <c r="BL118" s="44">
        <f t="shared" si="85"/>
        <v>0</v>
      </c>
      <c r="BM118" s="44">
        <f t="shared" si="85"/>
        <v>0</v>
      </c>
      <c r="BN118" s="44">
        <f t="shared" si="85"/>
        <v>0</v>
      </c>
      <c r="BO118" s="44">
        <f t="shared" si="85"/>
        <v>0</v>
      </c>
      <c r="BP118" s="44">
        <f t="shared" si="85"/>
        <v>0</v>
      </c>
      <c r="BQ118" s="44">
        <f t="shared" si="85"/>
        <v>0</v>
      </c>
      <c r="BR118" s="44">
        <f t="shared" si="85"/>
        <v>0</v>
      </c>
      <c r="BS118" s="44">
        <f t="shared" si="85"/>
        <v>0</v>
      </c>
      <c r="BT118" s="44">
        <f t="shared" si="85"/>
        <v>0</v>
      </c>
      <c r="BU118" s="44">
        <f t="shared" si="85"/>
        <v>0</v>
      </c>
      <c r="BV118" s="44">
        <f t="shared" si="85"/>
        <v>0</v>
      </c>
      <c r="BW118" s="44">
        <f t="shared" si="83"/>
        <v>0</v>
      </c>
      <c r="BX118" s="44">
        <f t="shared" si="78"/>
        <v>0</v>
      </c>
      <c r="BY118" s="44">
        <f t="shared" si="78"/>
        <v>0</v>
      </c>
      <c r="BZ118" s="44">
        <f t="shared" si="78"/>
        <v>0</v>
      </c>
      <c r="CA118" s="44">
        <f t="shared" si="78"/>
        <v>0</v>
      </c>
      <c r="CB118" s="44">
        <f t="shared" si="78"/>
        <v>0</v>
      </c>
      <c r="CC118" s="44">
        <f t="shared" si="78"/>
        <v>0</v>
      </c>
      <c r="CD118" s="44">
        <f t="shared" si="78"/>
        <v>0</v>
      </c>
      <c r="CE118" s="46">
        <f t="shared" si="88"/>
        <v>0.96362906454248365</v>
      </c>
      <c r="CF118" s="44">
        <f t="shared" si="89"/>
        <v>471792790</v>
      </c>
      <c r="CG118" s="44"/>
      <c r="CH118" s="44">
        <f>+'[1]Acuerdo PLAN INVERSIÓN 2021'!$H$4992</f>
        <v>199915580</v>
      </c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>
        <f>+'[5]Acuerdo PLAN INVERSIÓN 2021'!$H$7036+'[5]Acuerdo PLAN INVERSIÓN 2021'!$H$7061+'[5]Acuerdo PLAN INVERSIÓN 2021'!$H$7067</f>
        <v>189015277</v>
      </c>
      <c r="CY118" s="44">
        <f>+'[5]Acuerdo PLAN INVERSIÓN 2021'!$H$7077</f>
        <v>82861933</v>
      </c>
      <c r="CZ118" s="44"/>
      <c r="DA118" s="44"/>
      <c r="DB118" s="44"/>
      <c r="DC118" s="44"/>
      <c r="DD118" s="46">
        <f t="shared" si="54"/>
        <v>3.6370935457516351E-2</v>
      </c>
      <c r="DE118" s="44">
        <f t="shared" si="79"/>
        <v>17807210</v>
      </c>
      <c r="DF118" s="44">
        <f t="shared" si="86"/>
        <v>0</v>
      </c>
      <c r="DG118" s="44">
        <f t="shared" si="86"/>
        <v>84420</v>
      </c>
      <c r="DH118" s="44">
        <f t="shared" si="86"/>
        <v>0</v>
      </c>
      <c r="DI118" s="44">
        <f t="shared" si="86"/>
        <v>0</v>
      </c>
      <c r="DJ118" s="44">
        <f t="shared" si="86"/>
        <v>0</v>
      </c>
      <c r="DK118" s="44">
        <f t="shared" si="86"/>
        <v>0</v>
      </c>
      <c r="DL118" s="44">
        <f t="shared" si="86"/>
        <v>0</v>
      </c>
      <c r="DM118" s="44">
        <f t="shared" si="86"/>
        <v>0</v>
      </c>
      <c r="DN118" s="44">
        <f t="shared" si="86"/>
        <v>0</v>
      </c>
      <c r="DO118" s="44">
        <f t="shared" si="86"/>
        <v>0</v>
      </c>
      <c r="DP118" s="44">
        <f t="shared" si="86"/>
        <v>0</v>
      </c>
      <c r="DQ118" s="44">
        <f t="shared" si="86"/>
        <v>0</v>
      </c>
      <c r="DR118" s="44">
        <f t="shared" si="86"/>
        <v>0</v>
      </c>
      <c r="DS118" s="44">
        <f t="shared" si="86"/>
        <v>0</v>
      </c>
      <c r="DT118" s="44">
        <f t="shared" si="86"/>
        <v>0</v>
      </c>
      <c r="DU118" s="44">
        <f t="shared" si="84"/>
        <v>0</v>
      </c>
      <c r="DV118" s="44">
        <f t="shared" si="81"/>
        <v>0</v>
      </c>
      <c r="DW118" s="44">
        <f t="shared" si="81"/>
        <v>10584723</v>
      </c>
      <c r="DX118" s="44">
        <f t="shared" si="81"/>
        <v>7138067</v>
      </c>
      <c r="DY118" s="44">
        <f t="shared" si="81"/>
        <v>0</v>
      </c>
      <c r="DZ118" s="44">
        <f t="shared" si="81"/>
        <v>0</v>
      </c>
      <c r="EA118" s="44">
        <f t="shared" si="81"/>
        <v>0</v>
      </c>
      <c r="EB118" s="44">
        <f t="shared" si="81"/>
        <v>0</v>
      </c>
    </row>
    <row r="119" spans="1:132" ht="27.75" customHeight="1" x14ac:dyDescent="0.25">
      <c r="A119" s="50"/>
      <c r="B119" s="81"/>
      <c r="C119" s="83" t="s">
        <v>342</v>
      </c>
      <c r="D119" s="54" t="s">
        <v>343</v>
      </c>
      <c r="E119" s="122">
        <v>211</v>
      </c>
      <c r="F119" s="43" t="s">
        <v>344</v>
      </c>
      <c r="G119" s="44">
        <f t="shared" si="76"/>
        <v>980852039</v>
      </c>
      <c r="H119" s="45">
        <v>520000000</v>
      </c>
      <c r="I119" s="45">
        <f t="shared" si="82"/>
        <v>-460852039</v>
      </c>
      <c r="J119" s="44">
        <f>60000000</f>
        <v>60000000</v>
      </c>
      <c r="K119" s="44">
        <v>200000000</v>
      </c>
      <c r="L119" s="44"/>
      <c r="M119" s="44">
        <f>10351839+362500200</f>
        <v>372852039</v>
      </c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>
        <v>340000000</v>
      </c>
      <c r="AB119" s="44"/>
      <c r="AC119" s="44"/>
      <c r="AD119" s="44"/>
      <c r="AE119" s="44"/>
      <c r="AF119" s="44">
        <v>8000000</v>
      </c>
      <c r="AG119" s="46">
        <f t="shared" si="53"/>
        <v>0.52172152746067746</v>
      </c>
      <c r="AH119" s="44">
        <f t="shared" si="87"/>
        <v>511731624</v>
      </c>
      <c r="AI119" s="44">
        <f>+'[1]Acuerdo PLAN INVERSIÓN 2021'!$L$5069</f>
        <v>22099840</v>
      </c>
      <c r="AJ119" s="44">
        <f>+'[1]Acuerdo PLAN INVERSIÓN 2021'!$J$5069</f>
        <v>200000000</v>
      </c>
      <c r="AK119" s="44"/>
      <c r="AL119" s="44">
        <f>+'[5]Acuerdo PLAN INVERSIÓN 2021'!$M$7093</f>
        <v>281631784</v>
      </c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>
        <f>+'[5]Acuerdo PLAN INVERSIÓN 2021'!$AF$7093</f>
        <v>8000000</v>
      </c>
      <c r="BF119" s="46">
        <f t="shared" si="55"/>
        <v>0.47827847253932254</v>
      </c>
      <c r="BG119" s="44">
        <f t="shared" si="62"/>
        <v>469120415</v>
      </c>
      <c r="BH119" s="44">
        <f t="shared" si="85"/>
        <v>37900160</v>
      </c>
      <c r="BI119" s="44">
        <f t="shared" si="85"/>
        <v>0</v>
      </c>
      <c r="BJ119" s="44">
        <f t="shared" si="85"/>
        <v>0</v>
      </c>
      <c r="BK119" s="44">
        <f t="shared" si="85"/>
        <v>91220255</v>
      </c>
      <c r="BL119" s="44">
        <f t="shared" si="85"/>
        <v>0</v>
      </c>
      <c r="BM119" s="44">
        <f t="shared" si="85"/>
        <v>0</v>
      </c>
      <c r="BN119" s="44">
        <f t="shared" si="85"/>
        <v>0</v>
      </c>
      <c r="BO119" s="44">
        <f t="shared" si="85"/>
        <v>0</v>
      </c>
      <c r="BP119" s="44">
        <f t="shared" si="85"/>
        <v>0</v>
      </c>
      <c r="BQ119" s="44">
        <f t="shared" si="85"/>
        <v>0</v>
      </c>
      <c r="BR119" s="44">
        <f t="shared" si="85"/>
        <v>0</v>
      </c>
      <c r="BS119" s="44">
        <f t="shared" si="85"/>
        <v>0</v>
      </c>
      <c r="BT119" s="44">
        <f t="shared" si="85"/>
        <v>0</v>
      </c>
      <c r="BU119" s="44">
        <f t="shared" si="85"/>
        <v>0</v>
      </c>
      <c r="BV119" s="44">
        <f t="shared" si="85"/>
        <v>0</v>
      </c>
      <c r="BW119" s="44">
        <f t="shared" si="83"/>
        <v>0</v>
      </c>
      <c r="BX119" s="44">
        <f t="shared" si="78"/>
        <v>0</v>
      </c>
      <c r="BY119" s="44">
        <f t="shared" si="78"/>
        <v>340000000</v>
      </c>
      <c r="BZ119" s="44">
        <f t="shared" si="78"/>
        <v>0</v>
      </c>
      <c r="CA119" s="44">
        <f t="shared" si="78"/>
        <v>0</v>
      </c>
      <c r="CB119" s="44">
        <f t="shared" si="78"/>
        <v>0</v>
      </c>
      <c r="CC119" s="44">
        <f t="shared" si="78"/>
        <v>0</v>
      </c>
      <c r="CD119" s="44">
        <f t="shared" si="78"/>
        <v>0</v>
      </c>
      <c r="CE119" s="46">
        <f t="shared" si="88"/>
        <v>0.10600395968591141</v>
      </c>
      <c r="CF119" s="44">
        <f t="shared" si="89"/>
        <v>103974200</v>
      </c>
      <c r="CG119" s="44"/>
      <c r="CH119" s="44">
        <f>+'[1]Acuerdo PLAN INVERSIÓN 2021'!$H$5070+'[1]Acuerdo PLAN INVERSIÓN 2021'!$H$5073</f>
        <v>103974200</v>
      </c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6">
        <f t="shared" si="54"/>
        <v>0.89399604031408864</v>
      </c>
      <c r="DE119" s="44">
        <f t="shared" si="79"/>
        <v>876877839</v>
      </c>
      <c r="DF119" s="44">
        <f t="shared" si="86"/>
        <v>60000000</v>
      </c>
      <c r="DG119" s="44">
        <f t="shared" si="86"/>
        <v>96025800</v>
      </c>
      <c r="DH119" s="44">
        <f t="shared" si="86"/>
        <v>0</v>
      </c>
      <c r="DI119" s="44">
        <f t="shared" si="86"/>
        <v>372852039</v>
      </c>
      <c r="DJ119" s="44">
        <f t="shared" si="86"/>
        <v>0</v>
      </c>
      <c r="DK119" s="44">
        <f t="shared" si="86"/>
        <v>0</v>
      </c>
      <c r="DL119" s="44">
        <f t="shared" si="86"/>
        <v>0</v>
      </c>
      <c r="DM119" s="44">
        <f t="shared" si="86"/>
        <v>0</v>
      </c>
      <c r="DN119" s="44">
        <f t="shared" si="86"/>
        <v>0</v>
      </c>
      <c r="DO119" s="44">
        <f t="shared" si="86"/>
        <v>0</v>
      </c>
      <c r="DP119" s="44">
        <f t="shared" si="86"/>
        <v>0</v>
      </c>
      <c r="DQ119" s="44">
        <f t="shared" si="86"/>
        <v>0</v>
      </c>
      <c r="DR119" s="44">
        <f t="shared" si="86"/>
        <v>0</v>
      </c>
      <c r="DS119" s="44">
        <f t="shared" si="86"/>
        <v>0</v>
      </c>
      <c r="DT119" s="44">
        <f t="shared" si="86"/>
        <v>0</v>
      </c>
      <c r="DU119" s="44">
        <f t="shared" si="84"/>
        <v>0</v>
      </c>
      <c r="DV119" s="44">
        <f t="shared" si="81"/>
        <v>0</v>
      </c>
      <c r="DW119" s="44">
        <f t="shared" si="81"/>
        <v>340000000</v>
      </c>
      <c r="DX119" s="44">
        <f t="shared" si="81"/>
        <v>0</v>
      </c>
      <c r="DY119" s="44">
        <f t="shared" si="81"/>
        <v>0</v>
      </c>
      <c r="DZ119" s="44">
        <f t="shared" si="81"/>
        <v>0</v>
      </c>
      <c r="EA119" s="44">
        <f t="shared" si="81"/>
        <v>0</v>
      </c>
      <c r="EB119" s="44">
        <f t="shared" si="81"/>
        <v>8000000</v>
      </c>
    </row>
    <row r="120" spans="1:132" ht="21" customHeight="1" x14ac:dyDescent="0.25">
      <c r="A120" s="50"/>
      <c r="B120" s="121" t="s">
        <v>345</v>
      </c>
      <c r="C120" s="83" t="s">
        <v>346</v>
      </c>
      <c r="D120" s="54" t="s">
        <v>347</v>
      </c>
      <c r="E120" s="122">
        <v>510</v>
      </c>
      <c r="F120" s="43" t="s">
        <v>240</v>
      </c>
      <c r="G120" s="44">
        <f t="shared" si="76"/>
        <v>170100000</v>
      </c>
      <c r="H120" s="45">
        <v>220000000</v>
      </c>
      <c r="I120" s="45">
        <f t="shared" si="82"/>
        <v>49900000</v>
      </c>
      <c r="J120" s="78"/>
      <c r="K120" s="44">
        <v>100000000</v>
      </c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>
        <f>80000000-9900000</f>
        <v>70100000</v>
      </c>
      <c r="AB120" s="44"/>
      <c r="AC120" s="44"/>
      <c r="AD120" s="44"/>
      <c r="AE120" s="44"/>
      <c r="AF120" s="44"/>
      <c r="AG120" s="46">
        <f t="shared" si="53"/>
        <v>0.96437815990593767</v>
      </c>
      <c r="AH120" s="44">
        <f t="shared" si="87"/>
        <v>164040725</v>
      </c>
      <c r="AI120" s="44"/>
      <c r="AJ120" s="44">
        <f>+'[9]Acuerdo PLAN INVERSIÓN 2021'!$J$2049+'[6]Acuerdo PLAN INVERSIÓN 2021'!$G$6136</f>
        <v>98099725</v>
      </c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>
        <f>+'[4]Acuerdo PLAN INVERSIÓN 2021'!$X$3003</f>
        <v>65941000</v>
      </c>
      <c r="BA120" s="44"/>
      <c r="BB120" s="44"/>
      <c r="BC120" s="44"/>
      <c r="BD120" s="44"/>
      <c r="BE120" s="44"/>
      <c r="BF120" s="46">
        <f t="shared" si="55"/>
        <v>3.5621840094062329E-2</v>
      </c>
      <c r="BG120" s="44">
        <f t="shared" si="62"/>
        <v>6059275</v>
      </c>
      <c r="BH120" s="44">
        <f t="shared" si="85"/>
        <v>0</v>
      </c>
      <c r="BI120" s="44">
        <f t="shared" si="85"/>
        <v>1900275</v>
      </c>
      <c r="BJ120" s="44">
        <f t="shared" si="85"/>
        <v>0</v>
      </c>
      <c r="BK120" s="44">
        <f t="shared" si="85"/>
        <v>0</v>
      </c>
      <c r="BL120" s="44">
        <f t="shared" si="85"/>
        <v>0</v>
      </c>
      <c r="BM120" s="44">
        <f t="shared" si="85"/>
        <v>0</v>
      </c>
      <c r="BN120" s="44">
        <f t="shared" si="85"/>
        <v>0</v>
      </c>
      <c r="BO120" s="44">
        <f t="shared" si="85"/>
        <v>0</v>
      </c>
      <c r="BP120" s="44">
        <f t="shared" si="85"/>
        <v>0</v>
      </c>
      <c r="BQ120" s="44">
        <f t="shared" si="85"/>
        <v>0</v>
      </c>
      <c r="BR120" s="44">
        <f t="shared" si="85"/>
        <v>0</v>
      </c>
      <c r="BS120" s="44">
        <f t="shared" si="85"/>
        <v>0</v>
      </c>
      <c r="BT120" s="44">
        <f t="shared" si="85"/>
        <v>0</v>
      </c>
      <c r="BU120" s="44">
        <f t="shared" si="85"/>
        <v>0</v>
      </c>
      <c r="BV120" s="44">
        <f t="shared" si="85"/>
        <v>0</v>
      </c>
      <c r="BW120" s="44">
        <f t="shared" si="83"/>
        <v>0</v>
      </c>
      <c r="BX120" s="44">
        <f t="shared" si="78"/>
        <v>0</v>
      </c>
      <c r="BY120" s="44">
        <f t="shared" si="78"/>
        <v>4159000</v>
      </c>
      <c r="BZ120" s="44">
        <f t="shared" si="78"/>
        <v>0</v>
      </c>
      <c r="CA120" s="44">
        <f t="shared" si="78"/>
        <v>0</v>
      </c>
      <c r="CB120" s="44">
        <f t="shared" si="78"/>
        <v>0</v>
      </c>
      <c r="CC120" s="44">
        <f t="shared" si="78"/>
        <v>0</v>
      </c>
      <c r="CD120" s="44">
        <f t="shared" si="78"/>
        <v>0</v>
      </c>
      <c r="CE120" s="46">
        <f t="shared" si="88"/>
        <v>0.82756888888888891</v>
      </c>
      <c r="CF120" s="44">
        <f t="shared" si="89"/>
        <v>140769468</v>
      </c>
      <c r="CG120" s="44"/>
      <c r="CH120" s="44">
        <f>+'[6]Acuerdo PLAN INVERSIÓN 2021'!$H$6110+'[6]Acuerdo PLAN INVERSIÓN 2021'!$H$6122</f>
        <v>95936139</v>
      </c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>
        <f>+'[6]Acuerdo PLAN INVERSIÓN 2021'!$H$6125+'[6]Acuerdo PLAN INVERSIÓN 2021'!$H$6129</f>
        <v>44833329</v>
      </c>
      <c r="CY120" s="44"/>
      <c r="CZ120" s="44"/>
      <c r="DA120" s="44"/>
      <c r="DB120" s="44"/>
      <c r="DC120" s="44"/>
      <c r="DD120" s="46">
        <f t="shared" si="54"/>
        <v>0.17243111111111109</v>
      </c>
      <c r="DE120" s="44">
        <f t="shared" si="79"/>
        <v>29330532</v>
      </c>
      <c r="DF120" s="44">
        <f t="shared" si="86"/>
        <v>0</v>
      </c>
      <c r="DG120" s="44">
        <f t="shared" si="86"/>
        <v>4063861</v>
      </c>
      <c r="DH120" s="44">
        <f t="shared" si="86"/>
        <v>0</v>
      </c>
      <c r="DI120" s="44">
        <f t="shared" si="86"/>
        <v>0</v>
      </c>
      <c r="DJ120" s="44">
        <f t="shared" si="86"/>
        <v>0</v>
      </c>
      <c r="DK120" s="44">
        <f t="shared" si="86"/>
        <v>0</v>
      </c>
      <c r="DL120" s="44">
        <f t="shared" si="86"/>
        <v>0</v>
      </c>
      <c r="DM120" s="44">
        <f t="shared" si="86"/>
        <v>0</v>
      </c>
      <c r="DN120" s="44">
        <f t="shared" si="86"/>
        <v>0</v>
      </c>
      <c r="DO120" s="44">
        <f t="shared" si="86"/>
        <v>0</v>
      </c>
      <c r="DP120" s="44">
        <f t="shared" si="86"/>
        <v>0</v>
      </c>
      <c r="DQ120" s="44">
        <f t="shared" si="86"/>
        <v>0</v>
      </c>
      <c r="DR120" s="44">
        <f t="shared" si="86"/>
        <v>0</v>
      </c>
      <c r="DS120" s="44">
        <f t="shared" si="86"/>
        <v>0</v>
      </c>
      <c r="DT120" s="44">
        <f t="shared" si="86"/>
        <v>0</v>
      </c>
      <c r="DU120" s="44">
        <f t="shared" si="84"/>
        <v>0</v>
      </c>
      <c r="DV120" s="44">
        <f t="shared" si="81"/>
        <v>0</v>
      </c>
      <c r="DW120" s="44">
        <f t="shared" si="81"/>
        <v>25266671</v>
      </c>
      <c r="DX120" s="44">
        <f t="shared" si="81"/>
        <v>0</v>
      </c>
      <c r="DY120" s="44">
        <f t="shared" si="81"/>
        <v>0</v>
      </c>
      <c r="DZ120" s="44">
        <f t="shared" si="81"/>
        <v>0</v>
      </c>
      <c r="EA120" s="44">
        <f t="shared" si="81"/>
        <v>0</v>
      </c>
      <c r="EB120" s="44">
        <f t="shared" si="81"/>
        <v>0</v>
      </c>
    </row>
    <row r="121" spans="1:132" ht="31.5" customHeight="1" x14ac:dyDescent="0.25">
      <c r="A121" s="50"/>
      <c r="B121" s="121"/>
      <c r="C121" s="83" t="s">
        <v>348</v>
      </c>
      <c r="D121" s="54" t="s">
        <v>349</v>
      </c>
      <c r="E121" s="122">
        <v>510</v>
      </c>
      <c r="F121" s="43" t="s">
        <v>240</v>
      </c>
      <c r="G121" s="44">
        <f t="shared" si="76"/>
        <v>5807000</v>
      </c>
      <c r="H121" s="45">
        <v>80000000</v>
      </c>
      <c r="I121" s="45">
        <f t="shared" si="82"/>
        <v>74193000</v>
      </c>
      <c r="J121" s="78"/>
      <c r="K121" s="44">
        <f>20000000-10000000-4193000</f>
        <v>5807000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6">
        <f t="shared" si="53"/>
        <v>1</v>
      </c>
      <c r="AH121" s="44">
        <f t="shared" si="87"/>
        <v>5807000</v>
      </c>
      <c r="AI121" s="44"/>
      <c r="AJ121" s="44">
        <f>+'[6]Acuerdo PLAN INVERSIÓN 2021'!$J$6140</f>
        <v>5807000</v>
      </c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6">
        <f t="shared" si="55"/>
        <v>0</v>
      </c>
      <c r="BG121" s="44">
        <f t="shared" si="62"/>
        <v>0</v>
      </c>
      <c r="BH121" s="44">
        <f t="shared" si="85"/>
        <v>0</v>
      </c>
      <c r="BI121" s="44">
        <f t="shared" si="85"/>
        <v>0</v>
      </c>
      <c r="BJ121" s="44">
        <f t="shared" si="85"/>
        <v>0</v>
      </c>
      <c r="BK121" s="44">
        <f t="shared" si="85"/>
        <v>0</v>
      </c>
      <c r="BL121" s="44">
        <f t="shared" si="85"/>
        <v>0</v>
      </c>
      <c r="BM121" s="44">
        <f t="shared" si="85"/>
        <v>0</v>
      </c>
      <c r="BN121" s="44">
        <f t="shared" si="85"/>
        <v>0</v>
      </c>
      <c r="BO121" s="44">
        <f t="shared" si="85"/>
        <v>0</v>
      </c>
      <c r="BP121" s="44">
        <f t="shared" si="85"/>
        <v>0</v>
      </c>
      <c r="BQ121" s="44">
        <f t="shared" si="85"/>
        <v>0</v>
      </c>
      <c r="BR121" s="44">
        <f t="shared" si="85"/>
        <v>0</v>
      </c>
      <c r="BS121" s="44">
        <f t="shared" si="85"/>
        <v>0</v>
      </c>
      <c r="BT121" s="44">
        <f t="shared" si="85"/>
        <v>0</v>
      </c>
      <c r="BU121" s="44">
        <f t="shared" si="85"/>
        <v>0</v>
      </c>
      <c r="BV121" s="44">
        <f t="shared" si="85"/>
        <v>0</v>
      </c>
      <c r="BW121" s="44">
        <f t="shared" si="83"/>
        <v>0</v>
      </c>
      <c r="BX121" s="44">
        <f t="shared" si="78"/>
        <v>0</v>
      </c>
      <c r="BY121" s="44">
        <f t="shared" si="78"/>
        <v>0</v>
      </c>
      <c r="BZ121" s="44">
        <f t="shared" si="78"/>
        <v>0</v>
      </c>
      <c r="CA121" s="44">
        <f t="shared" si="78"/>
        <v>0</v>
      </c>
      <c r="CB121" s="44">
        <f t="shared" si="78"/>
        <v>0</v>
      </c>
      <c r="CC121" s="44">
        <f t="shared" si="78"/>
        <v>0</v>
      </c>
      <c r="CD121" s="44">
        <f t="shared" si="78"/>
        <v>0</v>
      </c>
      <c r="CE121" s="46">
        <f t="shared" si="88"/>
        <v>0.95516910625107632</v>
      </c>
      <c r="CF121" s="44">
        <f t="shared" si="89"/>
        <v>5546667</v>
      </c>
      <c r="CG121" s="44"/>
      <c r="CH121" s="44">
        <f>+'[6]Acuerdo PLAN INVERSIÓN 2021'!$H$6141</f>
        <v>5546667</v>
      </c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6">
        <f t="shared" si="54"/>
        <v>4.4830893748923684E-2</v>
      </c>
      <c r="DE121" s="44">
        <f t="shared" si="79"/>
        <v>260333</v>
      </c>
      <c r="DF121" s="44">
        <f t="shared" si="86"/>
        <v>0</v>
      </c>
      <c r="DG121" s="44">
        <f t="shared" si="86"/>
        <v>260333</v>
      </c>
      <c r="DH121" s="44">
        <f t="shared" si="86"/>
        <v>0</v>
      </c>
      <c r="DI121" s="44">
        <f t="shared" si="86"/>
        <v>0</v>
      </c>
      <c r="DJ121" s="44">
        <f t="shared" si="86"/>
        <v>0</v>
      </c>
      <c r="DK121" s="44">
        <f t="shared" si="86"/>
        <v>0</v>
      </c>
      <c r="DL121" s="44">
        <f t="shared" si="86"/>
        <v>0</v>
      </c>
      <c r="DM121" s="44">
        <f t="shared" si="86"/>
        <v>0</v>
      </c>
      <c r="DN121" s="44">
        <f t="shared" si="86"/>
        <v>0</v>
      </c>
      <c r="DO121" s="44">
        <f t="shared" si="86"/>
        <v>0</v>
      </c>
      <c r="DP121" s="44">
        <f t="shared" si="86"/>
        <v>0</v>
      </c>
      <c r="DQ121" s="44">
        <f t="shared" si="86"/>
        <v>0</v>
      </c>
      <c r="DR121" s="44">
        <f t="shared" si="86"/>
        <v>0</v>
      </c>
      <c r="DS121" s="44">
        <f t="shared" si="86"/>
        <v>0</v>
      </c>
      <c r="DT121" s="44">
        <f t="shared" si="86"/>
        <v>0</v>
      </c>
      <c r="DU121" s="44">
        <f t="shared" si="84"/>
        <v>0</v>
      </c>
      <c r="DV121" s="44">
        <f t="shared" si="81"/>
        <v>0</v>
      </c>
      <c r="DW121" s="44">
        <f t="shared" si="81"/>
        <v>0</v>
      </c>
      <c r="DX121" s="44">
        <f t="shared" si="81"/>
        <v>0</v>
      </c>
      <c r="DY121" s="44">
        <f t="shared" si="81"/>
        <v>0</v>
      </c>
      <c r="DZ121" s="44">
        <f t="shared" si="81"/>
        <v>0</v>
      </c>
      <c r="EA121" s="44">
        <f t="shared" si="81"/>
        <v>0</v>
      </c>
      <c r="EB121" s="44">
        <f t="shared" si="81"/>
        <v>0</v>
      </c>
    </row>
    <row r="122" spans="1:132" ht="21" customHeight="1" x14ac:dyDescent="0.25">
      <c r="A122" s="50"/>
      <c r="B122" s="121"/>
      <c r="C122" s="83" t="s">
        <v>350</v>
      </c>
      <c r="D122" s="54" t="s">
        <v>351</v>
      </c>
      <c r="E122" s="122">
        <v>510</v>
      </c>
      <c r="F122" s="43" t="s">
        <v>240</v>
      </c>
      <c r="G122" s="44">
        <f t="shared" si="76"/>
        <v>190000000</v>
      </c>
      <c r="H122" s="45">
        <v>280000000</v>
      </c>
      <c r="I122" s="45">
        <f t="shared" si="82"/>
        <v>90000000</v>
      </c>
      <c r="J122" s="78"/>
      <c r="K122" s="44">
        <v>100000000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>
        <v>90000000</v>
      </c>
      <c r="AB122" s="44"/>
      <c r="AC122" s="44"/>
      <c r="AD122" s="44"/>
      <c r="AE122" s="44"/>
      <c r="AF122" s="44"/>
      <c r="AG122" s="46">
        <f t="shared" si="53"/>
        <v>0.94761403684210521</v>
      </c>
      <c r="AH122" s="44">
        <f t="shared" si="87"/>
        <v>180046667</v>
      </c>
      <c r="AI122" s="44"/>
      <c r="AJ122" s="44">
        <f>+'[10]Acuerdo PLAN INVERSIÓN 2021'!$J$1118</f>
        <v>90046667</v>
      </c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>
        <f>+'[2]Acuerdo PLAN INVERSIÓN 2021'!$X$4226</f>
        <v>90000000</v>
      </c>
      <c r="BA122" s="44"/>
      <c r="BB122" s="44"/>
      <c r="BC122" s="44"/>
      <c r="BD122" s="44"/>
      <c r="BE122" s="44"/>
      <c r="BF122" s="46">
        <f t="shared" si="55"/>
        <v>5.2385963157894788E-2</v>
      </c>
      <c r="BG122" s="44">
        <f t="shared" si="62"/>
        <v>9953333</v>
      </c>
      <c r="BH122" s="44">
        <f t="shared" si="85"/>
        <v>0</v>
      </c>
      <c r="BI122" s="44">
        <f t="shared" si="85"/>
        <v>9953333</v>
      </c>
      <c r="BJ122" s="44">
        <f t="shared" si="85"/>
        <v>0</v>
      </c>
      <c r="BK122" s="44">
        <f t="shared" si="85"/>
        <v>0</v>
      </c>
      <c r="BL122" s="44">
        <f t="shared" si="85"/>
        <v>0</v>
      </c>
      <c r="BM122" s="44">
        <f t="shared" si="85"/>
        <v>0</v>
      </c>
      <c r="BN122" s="44">
        <f t="shared" si="85"/>
        <v>0</v>
      </c>
      <c r="BO122" s="44">
        <f t="shared" si="85"/>
        <v>0</v>
      </c>
      <c r="BP122" s="44">
        <f t="shared" si="85"/>
        <v>0</v>
      </c>
      <c r="BQ122" s="44">
        <f t="shared" si="85"/>
        <v>0</v>
      </c>
      <c r="BR122" s="44">
        <f t="shared" si="85"/>
        <v>0</v>
      </c>
      <c r="BS122" s="44">
        <f t="shared" si="85"/>
        <v>0</v>
      </c>
      <c r="BT122" s="44">
        <f t="shared" si="85"/>
        <v>0</v>
      </c>
      <c r="BU122" s="44">
        <f t="shared" si="85"/>
        <v>0</v>
      </c>
      <c r="BV122" s="44">
        <f t="shared" si="85"/>
        <v>0</v>
      </c>
      <c r="BW122" s="44">
        <f t="shared" si="83"/>
        <v>0</v>
      </c>
      <c r="BX122" s="44">
        <f t="shared" si="78"/>
        <v>0</v>
      </c>
      <c r="BY122" s="44">
        <f t="shared" si="78"/>
        <v>0</v>
      </c>
      <c r="BZ122" s="44">
        <f t="shared" si="78"/>
        <v>0</v>
      </c>
      <c r="CA122" s="44">
        <f t="shared" si="78"/>
        <v>0</v>
      </c>
      <c r="CB122" s="44">
        <f t="shared" si="78"/>
        <v>0</v>
      </c>
      <c r="CC122" s="44">
        <f t="shared" si="78"/>
        <v>0</v>
      </c>
      <c r="CD122" s="44">
        <f t="shared" si="78"/>
        <v>0</v>
      </c>
      <c r="CE122" s="46">
        <f t="shared" si="88"/>
        <v>0.91568744210526321</v>
      </c>
      <c r="CF122" s="44">
        <f t="shared" si="89"/>
        <v>173980614</v>
      </c>
      <c r="CG122" s="44"/>
      <c r="CH122" s="44">
        <f>+'[3]Acuerdo PLAN INVERSIÓN 2021'!$H$3667</f>
        <v>90046667</v>
      </c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>
        <f>+'[6]Acuerdo PLAN INVERSIÓN 2021'!$H$6160+'[6]Acuerdo PLAN INVERSIÓN 2021'!$H$6163+'[6]Acuerdo PLAN INVERSIÓN 2021'!$H$6170+'[6]Acuerdo PLAN INVERSIÓN 2021'!$H$6173</f>
        <v>83933947</v>
      </c>
      <c r="CY122" s="44"/>
      <c r="CZ122" s="44"/>
      <c r="DA122" s="44"/>
      <c r="DB122" s="44"/>
      <c r="DC122" s="44"/>
      <c r="DD122" s="46">
        <f t="shared" si="54"/>
        <v>8.4312557894736795E-2</v>
      </c>
      <c r="DE122" s="44">
        <f t="shared" si="79"/>
        <v>16019386</v>
      </c>
      <c r="DF122" s="44">
        <f t="shared" si="86"/>
        <v>0</v>
      </c>
      <c r="DG122" s="44">
        <f t="shared" si="86"/>
        <v>9953333</v>
      </c>
      <c r="DH122" s="44">
        <f t="shared" si="86"/>
        <v>0</v>
      </c>
      <c r="DI122" s="44">
        <f t="shared" si="86"/>
        <v>0</v>
      </c>
      <c r="DJ122" s="44">
        <f t="shared" si="86"/>
        <v>0</v>
      </c>
      <c r="DK122" s="44">
        <f t="shared" si="86"/>
        <v>0</v>
      </c>
      <c r="DL122" s="44">
        <f t="shared" si="86"/>
        <v>0</v>
      </c>
      <c r="DM122" s="44">
        <f t="shared" si="86"/>
        <v>0</v>
      </c>
      <c r="DN122" s="44">
        <f t="shared" si="86"/>
        <v>0</v>
      </c>
      <c r="DO122" s="44">
        <f t="shared" si="86"/>
        <v>0</v>
      </c>
      <c r="DP122" s="44">
        <f t="shared" si="86"/>
        <v>0</v>
      </c>
      <c r="DQ122" s="44">
        <f t="shared" si="86"/>
        <v>0</v>
      </c>
      <c r="DR122" s="44">
        <f t="shared" si="86"/>
        <v>0</v>
      </c>
      <c r="DS122" s="44">
        <f t="shared" si="86"/>
        <v>0</v>
      </c>
      <c r="DT122" s="44">
        <f t="shared" si="86"/>
        <v>0</v>
      </c>
      <c r="DU122" s="44">
        <f t="shared" si="84"/>
        <v>0</v>
      </c>
      <c r="DV122" s="44">
        <f t="shared" si="81"/>
        <v>0</v>
      </c>
      <c r="DW122" s="44">
        <f t="shared" si="81"/>
        <v>6066053</v>
      </c>
      <c r="DX122" s="44">
        <f t="shared" si="81"/>
        <v>0</v>
      </c>
      <c r="DY122" s="44">
        <f t="shared" si="81"/>
        <v>0</v>
      </c>
      <c r="DZ122" s="44">
        <f t="shared" si="81"/>
        <v>0</v>
      </c>
      <c r="EA122" s="44">
        <f t="shared" si="81"/>
        <v>0</v>
      </c>
      <c r="EB122" s="44">
        <f t="shared" si="81"/>
        <v>0</v>
      </c>
    </row>
    <row r="123" spans="1:132" ht="21.75" customHeight="1" x14ac:dyDescent="0.25">
      <c r="A123" s="50"/>
      <c r="B123" s="121"/>
      <c r="C123" s="83" t="s">
        <v>352</v>
      </c>
      <c r="D123" s="54" t="s">
        <v>353</v>
      </c>
      <c r="E123" s="122">
        <v>510</v>
      </c>
      <c r="F123" s="43" t="s">
        <v>240</v>
      </c>
      <c r="G123" s="44">
        <f t="shared" si="76"/>
        <v>194900000</v>
      </c>
      <c r="H123" s="45">
        <v>200000000</v>
      </c>
      <c r="I123" s="45">
        <f t="shared" si="82"/>
        <v>5100000</v>
      </c>
      <c r="J123" s="78"/>
      <c r="K123" s="44">
        <f>90000000+10000000</f>
        <v>100000000</v>
      </c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>
        <f>75000000+9900000</f>
        <v>84900000</v>
      </c>
      <c r="AB123" s="44">
        <v>10000000</v>
      </c>
      <c r="AC123" s="44"/>
      <c r="AD123" s="44"/>
      <c r="AE123" s="44"/>
      <c r="AF123" s="44"/>
      <c r="AG123" s="46">
        <f t="shared" si="53"/>
        <v>1</v>
      </c>
      <c r="AH123" s="44">
        <f t="shared" si="87"/>
        <v>194900000</v>
      </c>
      <c r="AI123" s="44"/>
      <c r="AJ123" s="44">
        <f>+'[6]Acuerdo PLAN INVERSIÓN 2021'!$J$6182</f>
        <v>100000000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>
        <f>+'[6]Acuerdo PLAN INVERSIÓN 2021'!$X$6182</f>
        <v>84900000</v>
      </c>
      <c r="BA123" s="44">
        <f>+'[6]Acuerdo PLAN INVERSIÓN 2021'!$Y$6182</f>
        <v>10000000</v>
      </c>
      <c r="BB123" s="44"/>
      <c r="BC123" s="44"/>
      <c r="BD123" s="44"/>
      <c r="BE123" s="44"/>
      <c r="BF123" s="46">
        <f t="shared" si="55"/>
        <v>0</v>
      </c>
      <c r="BG123" s="44">
        <f t="shared" si="62"/>
        <v>0</v>
      </c>
      <c r="BH123" s="44">
        <f t="shared" si="85"/>
        <v>0</v>
      </c>
      <c r="BI123" s="44">
        <f t="shared" si="85"/>
        <v>0</v>
      </c>
      <c r="BJ123" s="44">
        <f t="shared" si="85"/>
        <v>0</v>
      </c>
      <c r="BK123" s="44">
        <f t="shared" si="85"/>
        <v>0</v>
      </c>
      <c r="BL123" s="44">
        <f t="shared" si="85"/>
        <v>0</v>
      </c>
      <c r="BM123" s="44">
        <f t="shared" si="85"/>
        <v>0</v>
      </c>
      <c r="BN123" s="44">
        <f t="shared" si="85"/>
        <v>0</v>
      </c>
      <c r="BO123" s="44">
        <f t="shared" si="85"/>
        <v>0</v>
      </c>
      <c r="BP123" s="44">
        <f t="shared" si="85"/>
        <v>0</v>
      </c>
      <c r="BQ123" s="44">
        <f t="shared" si="85"/>
        <v>0</v>
      </c>
      <c r="BR123" s="44">
        <f t="shared" si="85"/>
        <v>0</v>
      </c>
      <c r="BS123" s="44">
        <f t="shared" si="85"/>
        <v>0</v>
      </c>
      <c r="BT123" s="44">
        <f t="shared" si="85"/>
        <v>0</v>
      </c>
      <c r="BU123" s="44">
        <f t="shared" si="85"/>
        <v>0</v>
      </c>
      <c r="BV123" s="44">
        <f t="shared" si="85"/>
        <v>0</v>
      </c>
      <c r="BW123" s="44">
        <f t="shared" si="83"/>
        <v>0</v>
      </c>
      <c r="BX123" s="44">
        <f t="shared" si="78"/>
        <v>0</v>
      </c>
      <c r="BY123" s="44">
        <f t="shared" si="78"/>
        <v>0</v>
      </c>
      <c r="BZ123" s="44">
        <f t="shared" si="78"/>
        <v>0</v>
      </c>
      <c r="CA123" s="44">
        <f t="shared" si="78"/>
        <v>0</v>
      </c>
      <c r="CB123" s="44">
        <f t="shared" si="78"/>
        <v>0</v>
      </c>
      <c r="CC123" s="44">
        <f t="shared" si="78"/>
        <v>0</v>
      </c>
      <c r="CD123" s="44">
        <f t="shared" si="78"/>
        <v>0</v>
      </c>
      <c r="CE123" s="46">
        <f t="shared" si="88"/>
        <v>0.99638786044125194</v>
      </c>
      <c r="CF123" s="44">
        <f t="shared" si="89"/>
        <v>194195994</v>
      </c>
      <c r="CG123" s="44"/>
      <c r="CH123" s="44">
        <f>+'[6]Acuerdo PLAN INVERSIÓN 2021'!$H$6183+'[6]Acuerdo PLAN INVERSIÓN 2021'!$H$6194+'[6]Acuerdo PLAN INVERSIÓN 2021'!$H$6234+'[6]Acuerdo PLAN INVERSIÓN 2021'!$H$6237</f>
        <v>99999997</v>
      </c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>
        <f>+'[6]Acuerdo PLAN INVERSIÓN 2021'!$H$6197+'[6]Acuerdo PLAN INVERSIÓN 2021'!$H$6202+'[6]Acuerdo PLAN INVERSIÓN 2021'!$H$6206+'[6]Acuerdo PLAN INVERSIÓN 2021'!$H$6211+'[6]Acuerdo PLAN INVERSIÓN 2021'!$H$6215+'[6]Acuerdo PLAN INVERSIÓN 2021'!$H$6218+'[6]Acuerdo PLAN INVERSIÓN 2021'!$H$6222+'[6]Acuerdo PLAN INVERSIÓN 2021'!$H$6231+'[5]Acuerdo PLAN INVERSIÓN 2021'!$H$7251</f>
        <v>84195997</v>
      </c>
      <c r="CY123" s="44">
        <f>+'[6]Acuerdo PLAN INVERSIÓN 2021'!$H$6242</f>
        <v>10000000</v>
      </c>
      <c r="CZ123" s="44"/>
      <c r="DA123" s="44"/>
      <c r="DB123" s="44"/>
      <c r="DC123" s="44"/>
      <c r="DD123" s="46">
        <f t="shared" si="54"/>
        <v>3.612139558748062E-3</v>
      </c>
      <c r="DE123" s="44">
        <f t="shared" si="79"/>
        <v>704006</v>
      </c>
      <c r="DF123" s="44">
        <f t="shared" si="86"/>
        <v>0</v>
      </c>
      <c r="DG123" s="44">
        <f t="shared" si="86"/>
        <v>3</v>
      </c>
      <c r="DH123" s="44">
        <f t="shared" si="86"/>
        <v>0</v>
      </c>
      <c r="DI123" s="44">
        <f t="shared" si="86"/>
        <v>0</v>
      </c>
      <c r="DJ123" s="44">
        <f t="shared" si="86"/>
        <v>0</v>
      </c>
      <c r="DK123" s="44">
        <f t="shared" si="86"/>
        <v>0</v>
      </c>
      <c r="DL123" s="44">
        <f t="shared" si="86"/>
        <v>0</v>
      </c>
      <c r="DM123" s="44">
        <f t="shared" si="86"/>
        <v>0</v>
      </c>
      <c r="DN123" s="44">
        <f t="shared" si="86"/>
        <v>0</v>
      </c>
      <c r="DO123" s="44">
        <f t="shared" si="86"/>
        <v>0</v>
      </c>
      <c r="DP123" s="44">
        <f t="shared" si="86"/>
        <v>0</v>
      </c>
      <c r="DQ123" s="44">
        <f t="shared" si="86"/>
        <v>0</v>
      </c>
      <c r="DR123" s="44">
        <f t="shared" si="86"/>
        <v>0</v>
      </c>
      <c r="DS123" s="44">
        <f t="shared" si="86"/>
        <v>0</v>
      </c>
      <c r="DT123" s="44">
        <f t="shared" si="86"/>
        <v>0</v>
      </c>
      <c r="DU123" s="44">
        <f t="shared" si="84"/>
        <v>0</v>
      </c>
      <c r="DV123" s="44">
        <f t="shared" si="81"/>
        <v>0</v>
      </c>
      <c r="DW123" s="44">
        <f t="shared" si="81"/>
        <v>704003</v>
      </c>
      <c r="DX123" s="44">
        <f t="shared" si="81"/>
        <v>0</v>
      </c>
      <c r="DY123" s="44">
        <f t="shared" si="81"/>
        <v>0</v>
      </c>
      <c r="DZ123" s="44">
        <f t="shared" si="81"/>
        <v>0</v>
      </c>
      <c r="EA123" s="44">
        <f t="shared" si="81"/>
        <v>0</v>
      </c>
      <c r="EB123" s="44">
        <f t="shared" si="81"/>
        <v>0</v>
      </c>
    </row>
    <row r="124" spans="1:132" ht="32.450000000000003" customHeight="1" x14ac:dyDescent="0.25">
      <c r="A124" s="50"/>
      <c r="B124" s="121"/>
      <c r="C124" s="83" t="s">
        <v>354</v>
      </c>
      <c r="D124" s="54" t="s">
        <v>355</v>
      </c>
      <c r="E124" s="122">
        <v>510</v>
      </c>
      <c r="F124" s="43" t="s">
        <v>240</v>
      </c>
      <c r="G124" s="44">
        <f t="shared" si="76"/>
        <v>90000000</v>
      </c>
      <c r="H124" s="45">
        <v>200000000</v>
      </c>
      <c r="I124" s="45">
        <f t="shared" si="82"/>
        <v>110000000</v>
      </c>
      <c r="J124" s="78"/>
      <c r="K124" s="44">
        <v>60000000</v>
      </c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>
        <f>30000000</f>
        <v>30000000</v>
      </c>
      <c r="AC124" s="44"/>
      <c r="AD124" s="44"/>
      <c r="AE124" s="44"/>
      <c r="AF124" s="44"/>
      <c r="AG124" s="46">
        <f t="shared" si="53"/>
        <v>1</v>
      </c>
      <c r="AH124" s="44">
        <f t="shared" si="87"/>
        <v>90000000</v>
      </c>
      <c r="AI124" s="44"/>
      <c r="AJ124" s="44">
        <f>+'[2]Acuerdo PLAN INVERSIÓN 2021'!$J$4294</f>
        <v>60000000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>
        <f>+'[2]Acuerdo PLAN INVERSIÓN 2021'!$Y$4294</f>
        <v>30000000</v>
      </c>
      <c r="BB124" s="44"/>
      <c r="BC124" s="44"/>
      <c r="BD124" s="44"/>
      <c r="BE124" s="44"/>
      <c r="BF124" s="46">
        <f t="shared" si="55"/>
        <v>0</v>
      </c>
      <c r="BG124" s="44">
        <f t="shared" si="62"/>
        <v>0</v>
      </c>
      <c r="BH124" s="44">
        <f t="shared" si="85"/>
        <v>0</v>
      </c>
      <c r="BI124" s="44">
        <f t="shared" si="85"/>
        <v>0</v>
      </c>
      <c r="BJ124" s="44">
        <f t="shared" si="85"/>
        <v>0</v>
      </c>
      <c r="BK124" s="44">
        <f t="shared" si="85"/>
        <v>0</v>
      </c>
      <c r="BL124" s="44">
        <f t="shared" si="85"/>
        <v>0</v>
      </c>
      <c r="BM124" s="44">
        <f t="shared" si="85"/>
        <v>0</v>
      </c>
      <c r="BN124" s="44">
        <f t="shared" si="85"/>
        <v>0</v>
      </c>
      <c r="BO124" s="44">
        <f t="shared" si="85"/>
        <v>0</v>
      </c>
      <c r="BP124" s="44">
        <f t="shared" si="85"/>
        <v>0</v>
      </c>
      <c r="BQ124" s="44">
        <f t="shared" si="85"/>
        <v>0</v>
      </c>
      <c r="BR124" s="44">
        <f t="shared" si="85"/>
        <v>0</v>
      </c>
      <c r="BS124" s="44">
        <f t="shared" si="85"/>
        <v>0</v>
      </c>
      <c r="BT124" s="44">
        <f t="shared" si="85"/>
        <v>0</v>
      </c>
      <c r="BU124" s="44">
        <f t="shared" si="85"/>
        <v>0</v>
      </c>
      <c r="BV124" s="44">
        <f t="shared" si="85"/>
        <v>0</v>
      </c>
      <c r="BW124" s="44">
        <f t="shared" si="83"/>
        <v>0</v>
      </c>
      <c r="BX124" s="44">
        <f t="shared" si="78"/>
        <v>0</v>
      </c>
      <c r="BY124" s="44">
        <f t="shared" si="78"/>
        <v>0</v>
      </c>
      <c r="BZ124" s="44">
        <f t="shared" si="78"/>
        <v>0</v>
      </c>
      <c r="CA124" s="44">
        <f t="shared" si="78"/>
        <v>0</v>
      </c>
      <c r="CB124" s="44">
        <f t="shared" si="78"/>
        <v>0</v>
      </c>
      <c r="CC124" s="44">
        <f t="shared" si="78"/>
        <v>0</v>
      </c>
      <c r="CD124" s="44">
        <f t="shared" si="78"/>
        <v>0</v>
      </c>
      <c r="CE124" s="46">
        <f t="shared" si="88"/>
        <v>0.99592593333333335</v>
      </c>
      <c r="CF124" s="44">
        <f t="shared" si="89"/>
        <v>89633334</v>
      </c>
      <c r="CG124" s="44"/>
      <c r="CH124" s="44">
        <f>+'[1]Acuerdo PLAN INVERSIÓN 2021'!$H$5200+'[1]Acuerdo PLAN INVERSIÓN 2021'!$H$5205</f>
        <v>59633334</v>
      </c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>
        <f>+'[1]Acuerdo PLAN INVERSIÓN 2021'!$H$5208</f>
        <v>30000000</v>
      </c>
      <c r="CZ124" s="44"/>
      <c r="DA124" s="44"/>
      <c r="DB124" s="44"/>
      <c r="DC124" s="44"/>
      <c r="DD124" s="46">
        <f t="shared" si="54"/>
        <v>4.0740666666666536E-3</v>
      </c>
      <c r="DE124" s="44">
        <f t="shared" si="79"/>
        <v>366666</v>
      </c>
      <c r="DF124" s="44">
        <f t="shared" si="86"/>
        <v>0</v>
      </c>
      <c r="DG124" s="44">
        <f t="shared" si="86"/>
        <v>366666</v>
      </c>
      <c r="DH124" s="44">
        <f t="shared" si="86"/>
        <v>0</v>
      </c>
      <c r="DI124" s="44">
        <f t="shared" si="86"/>
        <v>0</v>
      </c>
      <c r="DJ124" s="44">
        <f t="shared" si="86"/>
        <v>0</v>
      </c>
      <c r="DK124" s="44">
        <f t="shared" si="86"/>
        <v>0</v>
      </c>
      <c r="DL124" s="44">
        <f t="shared" si="86"/>
        <v>0</v>
      </c>
      <c r="DM124" s="44">
        <f t="shared" si="86"/>
        <v>0</v>
      </c>
      <c r="DN124" s="44">
        <f t="shared" si="86"/>
        <v>0</v>
      </c>
      <c r="DO124" s="44">
        <f t="shared" si="86"/>
        <v>0</v>
      </c>
      <c r="DP124" s="44">
        <f t="shared" si="86"/>
        <v>0</v>
      </c>
      <c r="DQ124" s="44">
        <f t="shared" si="86"/>
        <v>0</v>
      </c>
      <c r="DR124" s="44">
        <f t="shared" si="86"/>
        <v>0</v>
      </c>
      <c r="DS124" s="44">
        <f t="shared" si="86"/>
        <v>0</v>
      </c>
      <c r="DT124" s="44">
        <f t="shared" si="86"/>
        <v>0</v>
      </c>
      <c r="DU124" s="44">
        <f t="shared" si="84"/>
        <v>0</v>
      </c>
      <c r="DV124" s="44">
        <f t="shared" si="81"/>
        <v>0</v>
      </c>
      <c r="DW124" s="44">
        <f t="shared" si="81"/>
        <v>0</v>
      </c>
      <c r="DX124" s="44">
        <f t="shared" si="81"/>
        <v>0</v>
      </c>
      <c r="DY124" s="44">
        <f t="shared" si="81"/>
        <v>0</v>
      </c>
      <c r="DZ124" s="44">
        <f t="shared" si="81"/>
        <v>0</v>
      </c>
      <c r="EA124" s="44">
        <f t="shared" si="81"/>
        <v>0</v>
      </c>
      <c r="EB124" s="44">
        <f t="shared" si="81"/>
        <v>0</v>
      </c>
    </row>
    <row r="125" spans="1:132" ht="27.75" customHeight="1" x14ac:dyDescent="0.25">
      <c r="A125" s="50"/>
      <c r="B125" s="121"/>
      <c r="C125" s="83" t="s">
        <v>356</v>
      </c>
      <c r="D125" s="54" t="s">
        <v>357</v>
      </c>
      <c r="E125" s="122">
        <v>510</v>
      </c>
      <c r="F125" s="43" t="s">
        <v>358</v>
      </c>
      <c r="G125" s="44">
        <f t="shared" si="76"/>
        <v>22700000</v>
      </c>
      <c r="H125" s="45">
        <v>200000000</v>
      </c>
      <c r="I125" s="45">
        <f t="shared" si="82"/>
        <v>177300000</v>
      </c>
      <c r="J125" s="78"/>
      <c r="K125" s="44">
        <f>30000000-23300000</f>
        <v>6700000</v>
      </c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>
        <f>8000000+3200000+3200000+1600000</f>
        <v>16000000</v>
      </c>
      <c r="AG125" s="46">
        <f t="shared" si="53"/>
        <v>1</v>
      </c>
      <c r="AH125" s="44">
        <f t="shared" si="87"/>
        <v>22700000</v>
      </c>
      <c r="AI125" s="44"/>
      <c r="AJ125" s="44">
        <f>+'[6]Acuerdo PLAN INVERSIÓN 2021'!$J$6263</f>
        <v>6700000</v>
      </c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>
        <f>+'[1]Acuerdo PLAN INVERSIÓN 2021'!$AF$5214+'[5]Acuerdo PLAN INVERSIÓN 2021'!$G$7300</f>
        <v>16000000</v>
      </c>
      <c r="BF125" s="46">
        <f t="shared" si="55"/>
        <v>0</v>
      </c>
      <c r="BG125" s="44">
        <f t="shared" si="62"/>
        <v>0</v>
      </c>
      <c r="BH125" s="44">
        <f t="shared" si="85"/>
        <v>0</v>
      </c>
      <c r="BI125" s="44">
        <f t="shared" si="85"/>
        <v>0</v>
      </c>
      <c r="BJ125" s="44">
        <f t="shared" si="85"/>
        <v>0</v>
      </c>
      <c r="BK125" s="44">
        <f t="shared" si="85"/>
        <v>0</v>
      </c>
      <c r="BL125" s="44">
        <f t="shared" si="85"/>
        <v>0</v>
      </c>
      <c r="BM125" s="44">
        <f t="shared" si="85"/>
        <v>0</v>
      </c>
      <c r="BN125" s="44">
        <f t="shared" si="85"/>
        <v>0</v>
      </c>
      <c r="BO125" s="44">
        <f t="shared" si="85"/>
        <v>0</v>
      </c>
      <c r="BP125" s="44">
        <f t="shared" si="85"/>
        <v>0</v>
      </c>
      <c r="BQ125" s="44">
        <f t="shared" si="85"/>
        <v>0</v>
      </c>
      <c r="BR125" s="44">
        <f t="shared" si="85"/>
        <v>0</v>
      </c>
      <c r="BS125" s="44">
        <f t="shared" si="85"/>
        <v>0</v>
      </c>
      <c r="BT125" s="44">
        <f t="shared" si="85"/>
        <v>0</v>
      </c>
      <c r="BU125" s="44">
        <f t="shared" si="85"/>
        <v>0</v>
      </c>
      <c r="BV125" s="44">
        <f t="shared" si="85"/>
        <v>0</v>
      </c>
      <c r="BW125" s="44">
        <f t="shared" si="83"/>
        <v>0</v>
      </c>
      <c r="BX125" s="44">
        <f t="shared" si="78"/>
        <v>0</v>
      </c>
      <c r="BY125" s="44">
        <f t="shared" si="78"/>
        <v>0</v>
      </c>
      <c r="BZ125" s="44">
        <f t="shared" si="78"/>
        <v>0</v>
      </c>
      <c r="CA125" s="44">
        <f t="shared" si="78"/>
        <v>0</v>
      </c>
      <c r="CB125" s="44">
        <f t="shared" si="78"/>
        <v>0</v>
      </c>
      <c r="CC125" s="44">
        <f t="shared" si="78"/>
        <v>0</v>
      </c>
      <c r="CD125" s="44">
        <f t="shared" si="78"/>
        <v>0</v>
      </c>
      <c r="CE125" s="46">
        <f t="shared" si="88"/>
        <v>0.96035242290748901</v>
      </c>
      <c r="CF125" s="44">
        <f t="shared" si="89"/>
        <v>21800000</v>
      </c>
      <c r="CG125" s="44"/>
      <c r="CH125" s="44">
        <f>+'[6]Acuerdo PLAN INVERSIÓN 2021'!$H$6273</f>
        <v>5800000</v>
      </c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>
        <f>+'[1]Acuerdo PLAN INVERSIÓN 2021'!$H$5212+'[5]Acuerdo PLAN INVERSIÓN 2021'!$H$7301</f>
        <v>16000000</v>
      </c>
      <c r="DD125" s="46">
        <f t="shared" si="54"/>
        <v>3.9647577092510988E-2</v>
      </c>
      <c r="DE125" s="44">
        <f t="shared" si="79"/>
        <v>900000</v>
      </c>
      <c r="DF125" s="44">
        <f t="shared" si="86"/>
        <v>0</v>
      </c>
      <c r="DG125" s="44">
        <f t="shared" si="86"/>
        <v>900000</v>
      </c>
      <c r="DH125" s="44">
        <f t="shared" si="86"/>
        <v>0</v>
      </c>
      <c r="DI125" s="44">
        <f t="shared" si="86"/>
        <v>0</v>
      </c>
      <c r="DJ125" s="44">
        <f t="shared" si="86"/>
        <v>0</v>
      </c>
      <c r="DK125" s="44">
        <f t="shared" si="86"/>
        <v>0</v>
      </c>
      <c r="DL125" s="44">
        <f t="shared" si="86"/>
        <v>0</v>
      </c>
      <c r="DM125" s="44">
        <f t="shared" si="86"/>
        <v>0</v>
      </c>
      <c r="DN125" s="44">
        <f t="shared" si="86"/>
        <v>0</v>
      </c>
      <c r="DO125" s="44">
        <f t="shared" si="86"/>
        <v>0</v>
      </c>
      <c r="DP125" s="44">
        <f t="shared" si="86"/>
        <v>0</v>
      </c>
      <c r="DQ125" s="44">
        <f t="shared" si="86"/>
        <v>0</v>
      </c>
      <c r="DR125" s="44">
        <f t="shared" si="86"/>
        <v>0</v>
      </c>
      <c r="DS125" s="44">
        <f t="shared" si="86"/>
        <v>0</v>
      </c>
      <c r="DT125" s="44">
        <f t="shared" si="86"/>
        <v>0</v>
      </c>
      <c r="DU125" s="44">
        <f t="shared" si="84"/>
        <v>0</v>
      </c>
      <c r="DV125" s="44">
        <f t="shared" si="81"/>
        <v>0</v>
      </c>
      <c r="DW125" s="44">
        <f t="shared" si="81"/>
        <v>0</v>
      </c>
      <c r="DX125" s="44">
        <f t="shared" si="81"/>
        <v>0</v>
      </c>
      <c r="DY125" s="44">
        <f t="shared" si="81"/>
        <v>0</v>
      </c>
      <c r="DZ125" s="44">
        <f t="shared" si="81"/>
        <v>0</v>
      </c>
      <c r="EA125" s="44">
        <f t="shared" si="81"/>
        <v>0</v>
      </c>
      <c r="EB125" s="44">
        <f t="shared" si="81"/>
        <v>0</v>
      </c>
    </row>
    <row r="126" spans="1:132" ht="26.25" customHeight="1" x14ac:dyDescent="0.25">
      <c r="A126" s="50"/>
      <c r="B126" s="121"/>
      <c r="C126" s="83" t="s">
        <v>359</v>
      </c>
      <c r="D126" s="54" t="s">
        <v>360</v>
      </c>
      <c r="E126" s="122">
        <v>510</v>
      </c>
      <c r="F126" s="43" t="s">
        <v>240</v>
      </c>
      <c r="G126" s="44">
        <f t="shared" si="76"/>
        <v>240000000</v>
      </c>
      <c r="H126" s="45">
        <v>200000000</v>
      </c>
      <c r="I126" s="45">
        <f t="shared" si="82"/>
        <v>-40000000</v>
      </c>
      <c r="J126" s="78"/>
      <c r="K126" s="44">
        <v>60000000</v>
      </c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>
        <f>60000000+40000000</f>
        <v>100000000</v>
      </c>
      <c r="AB126" s="44">
        <f>30000000+50000000</f>
        <v>80000000</v>
      </c>
      <c r="AC126" s="44"/>
      <c r="AD126" s="44"/>
      <c r="AE126" s="44"/>
      <c r="AF126" s="44"/>
      <c r="AG126" s="46">
        <f t="shared" si="53"/>
        <v>1</v>
      </c>
      <c r="AH126" s="44">
        <f t="shared" si="87"/>
        <v>240000000</v>
      </c>
      <c r="AI126" s="44"/>
      <c r="AJ126" s="44">
        <f>+'[10]Acuerdo PLAN INVERSIÓN 2021'!$G$1150</f>
        <v>60000000</v>
      </c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>
        <f>+'[2]Acuerdo PLAN INVERSIÓN 2021'!$X$4315</f>
        <v>100000000</v>
      </c>
      <c r="BA126" s="44">
        <f>+'[2]Acuerdo PLAN INVERSIÓN 2021'!$Y$4315</f>
        <v>80000000</v>
      </c>
      <c r="BB126" s="44"/>
      <c r="BC126" s="44"/>
      <c r="BD126" s="44"/>
      <c r="BE126" s="44"/>
      <c r="BF126" s="46">
        <f t="shared" si="55"/>
        <v>0</v>
      </c>
      <c r="BG126" s="44">
        <f t="shared" si="62"/>
        <v>0</v>
      </c>
      <c r="BH126" s="44">
        <f t="shared" si="85"/>
        <v>0</v>
      </c>
      <c r="BI126" s="44">
        <f t="shared" si="85"/>
        <v>0</v>
      </c>
      <c r="BJ126" s="44">
        <f t="shared" si="85"/>
        <v>0</v>
      </c>
      <c r="BK126" s="44">
        <f t="shared" si="85"/>
        <v>0</v>
      </c>
      <c r="BL126" s="44">
        <f t="shared" si="85"/>
        <v>0</v>
      </c>
      <c r="BM126" s="44">
        <f t="shared" si="85"/>
        <v>0</v>
      </c>
      <c r="BN126" s="44">
        <f t="shared" si="85"/>
        <v>0</v>
      </c>
      <c r="BO126" s="44">
        <f t="shared" si="85"/>
        <v>0</v>
      </c>
      <c r="BP126" s="44">
        <f t="shared" si="85"/>
        <v>0</v>
      </c>
      <c r="BQ126" s="44">
        <f t="shared" si="85"/>
        <v>0</v>
      </c>
      <c r="BR126" s="44">
        <f t="shared" si="85"/>
        <v>0</v>
      </c>
      <c r="BS126" s="44">
        <f t="shared" si="85"/>
        <v>0</v>
      </c>
      <c r="BT126" s="44">
        <f t="shared" si="85"/>
        <v>0</v>
      </c>
      <c r="BU126" s="44">
        <f t="shared" si="85"/>
        <v>0</v>
      </c>
      <c r="BV126" s="44">
        <f t="shared" si="85"/>
        <v>0</v>
      </c>
      <c r="BW126" s="44">
        <f t="shared" si="83"/>
        <v>0</v>
      </c>
      <c r="BX126" s="44">
        <f t="shared" si="78"/>
        <v>0</v>
      </c>
      <c r="BY126" s="44">
        <f t="shared" si="78"/>
        <v>0</v>
      </c>
      <c r="BZ126" s="44">
        <f t="shared" si="78"/>
        <v>0</v>
      </c>
      <c r="CA126" s="44">
        <f t="shared" si="78"/>
        <v>0</v>
      </c>
      <c r="CB126" s="44">
        <f t="shared" si="78"/>
        <v>0</v>
      </c>
      <c r="CC126" s="44">
        <f t="shared" si="78"/>
        <v>0</v>
      </c>
      <c r="CD126" s="44">
        <f t="shared" si="78"/>
        <v>0</v>
      </c>
      <c r="CE126" s="46">
        <f t="shared" si="88"/>
        <v>0.93637018333333333</v>
      </c>
      <c r="CF126" s="44">
        <f t="shared" si="89"/>
        <v>224728844</v>
      </c>
      <c r="CG126" s="44"/>
      <c r="CH126" s="44">
        <f>+'[6]Acuerdo PLAN INVERSIÓN 2021'!$H$6279+'[6]Acuerdo PLAN INVERSIÓN 2021'!$H$6282+'[6]Acuerdo PLAN INVERSIÓN 2021'!$H$6285</f>
        <v>60000000</v>
      </c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>
        <f>+'[6]Acuerdo PLAN INVERSIÓN 2021'!$H$6293+'[6]Acuerdo PLAN INVERSIÓN 2021'!$H$6305+'[6]Acuerdo PLAN INVERSIÓN 2021'!$H$6321+'[6]Acuerdo PLAN INVERSIÓN 2021'!$H$6326+'[6]Acuerdo PLAN INVERSIÓN 2021'!$H$6329</f>
        <v>96884512</v>
      </c>
      <c r="CY126" s="44">
        <f>+'[6]Acuerdo PLAN INVERSIÓN 2021'!$H$6310+'[6]Acuerdo PLAN INVERSIÓN 2021'!$H$6314+'[6]Acuerdo PLAN INVERSIÓN 2021'!$H$6317+'[6]Acuerdo PLAN INVERSIÓN 2021'!$H$6332+'[6]Acuerdo PLAN INVERSIÓN 2021'!$H$6336+'[6]Acuerdo PLAN INVERSIÓN 2021'!$H$6339</f>
        <v>67844332</v>
      </c>
      <c r="CZ126" s="44"/>
      <c r="DA126" s="44"/>
      <c r="DB126" s="44"/>
      <c r="DC126" s="44"/>
      <c r="DD126" s="46">
        <f t="shared" si="54"/>
        <v>6.3629816666666672E-2</v>
      </c>
      <c r="DE126" s="44">
        <f t="shared" si="79"/>
        <v>15271156</v>
      </c>
      <c r="DF126" s="44">
        <f t="shared" si="86"/>
        <v>0</v>
      </c>
      <c r="DG126" s="44">
        <f t="shared" si="86"/>
        <v>0</v>
      </c>
      <c r="DH126" s="44">
        <f t="shared" si="86"/>
        <v>0</v>
      </c>
      <c r="DI126" s="44">
        <f t="shared" si="86"/>
        <v>0</v>
      </c>
      <c r="DJ126" s="44">
        <f t="shared" si="86"/>
        <v>0</v>
      </c>
      <c r="DK126" s="44">
        <f t="shared" si="86"/>
        <v>0</v>
      </c>
      <c r="DL126" s="44">
        <f t="shared" si="86"/>
        <v>0</v>
      </c>
      <c r="DM126" s="44">
        <f t="shared" si="86"/>
        <v>0</v>
      </c>
      <c r="DN126" s="44">
        <f t="shared" si="86"/>
        <v>0</v>
      </c>
      <c r="DO126" s="44">
        <f t="shared" si="86"/>
        <v>0</v>
      </c>
      <c r="DP126" s="44">
        <f t="shared" si="86"/>
        <v>0</v>
      </c>
      <c r="DQ126" s="44">
        <f t="shared" si="86"/>
        <v>0</v>
      </c>
      <c r="DR126" s="44">
        <f t="shared" si="86"/>
        <v>0</v>
      </c>
      <c r="DS126" s="44">
        <f t="shared" si="86"/>
        <v>0</v>
      </c>
      <c r="DT126" s="44">
        <f t="shared" si="86"/>
        <v>0</v>
      </c>
      <c r="DU126" s="44">
        <f t="shared" si="84"/>
        <v>0</v>
      </c>
      <c r="DV126" s="44">
        <f t="shared" si="81"/>
        <v>0</v>
      </c>
      <c r="DW126" s="44">
        <f t="shared" si="81"/>
        <v>3115488</v>
      </c>
      <c r="DX126" s="44">
        <f t="shared" si="81"/>
        <v>12155668</v>
      </c>
      <c r="DY126" s="44">
        <f t="shared" si="81"/>
        <v>0</v>
      </c>
      <c r="DZ126" s="44">
        <f t="shared" si="81"/>
        <v>0</v>
      </c>
      <c r="EA126" s="44">
        <f t="shared" si="81"/>
        <v>0</v>
      </c>
      <c r="EB126" s="44">
        <f t="shared" si="81"/>
        <v>0</v>
      </c>
    </row>
    <row r="127" spans="1:132" ht="30.75" customHeight="1" x14ac:dyDescent="0.25">
      <c r="A127" s="50"/>
      <c r="B127" s="77" t="s">
        <v>361</v>
      </c>
      <c r="C127" s="83" t="s">
        <v>362</v>
      </c>
      <c r="D127" s="54" t="s">
        <v>363</v>
      </c>
      <c r="E127" s="122">
        <v>310</v>
      </c>
      <c r="F127" s="43" t="s">
        <v>240</v>
      </c>
      <c r="G127" s="44">
        <f t="shared" si="76"/>
        <v>68000471</v>
      </c>
      <c r="H127" s="45">
        <v>180000000</v>
      </c>
      <c r="I127" s="45">
        <f t="shared" si="82"/>
        <v>111999529</v>
      </c>
      <c r="J127" s="78"/>
      <c r="K127" s="44">
        <f>100000000-31999529</f>
        <v>68000471</v>
      </c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6">
        <f t="shared" si="53"/>
        <v>0.89705953654350423</v>
      </c>
      <c r="AH127" s="44">
        <f t="shared" si="87"/>
        <v>61000471</v>
      </c>
      <c r="AI127" s="44"/>
      <c r="AJ127" s="44">
        <f>+'[1]Acuerdo PLAN INVERSIÓN 2021'!$J$5293</f>
        <v>61000471</v>
      </c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6">
        <f t="shared" si="55"/>
        <v>0.10294046345649577</v>
      </c>
      <c r="BG127" s="44">
        <f t="shared" si="62"/>
        <v>7000000</v>
      </c>
      <c r="BH127" s="44">
        <f t="shared" si="85"/>
        <v>0</v>
      </c>
      <c r="BI127" s="44">
        <f t="shared" si="85"/>
        <v>7000000</v>
      </c>
      <c r="BJ127" s="44">
        <f t="shared" si="85"/>
        <v>0</v>
      </c>
      <c r="BK127" s="44">
        <f t="shared" si="85"/>
        <v>0</v>
      </c>
      <c r="BL127" s="44">
        <f t="shared" si="85"/>
        <v>0</v>
      </c>
      <c r="BM127" s="44">
        <f t="shared" si="85"/>
        <v>0</v>
      </c>
      <c r="BN127" s="44">
        <f t="shared" si="85"/>
        <v>0</v>
      </c>
      <c r="BO127" s="44">
        <f t="shared" si="85"/>
        <v>0</v>
      </c>
      <c r="BP127" s="44">
        <f t="shared" si="85"/>
        <v>0</v>
      </c>
      <c r="BQ127" s="44">
        <f t="shared" si="85"/>
        <v>0</v>
      </c>
      <c r="BR127" s="44">
        <f t="shared" si="85"/>
        <v>0</v>
      </c>
      <c r="BS127" s="44">
        <f t="shared" si="85"/>
        <v>0</v>
      </c>
      <c r="BT127" s="44">
        <f t="shared" si="85"/>
        <v>0</v>
      </c>
      <c r="BU127" s="44">
        <f t="shared" si="85"/>
        <v>0</v>
      </c>
      <c r="BV127" s="44">
        <f t="shared" si="85"/>
        <v>0</v>
      </c>
      <c r="BW127" s="44">
        <f t="shared" si="83"/>
        <v>0</v>
      </c>
      <c r="BX127" s="44">
        <f t="shared" si="78"/>
        <v>0</v>
      </c>
      <c r="BY127" s="44">
        <f t="shared" si="78"/>
        <v>0</v>
      </c>
      <c r="BZ127" s="44">
        <f t="shared" si="78"/>
        <v>0</v>
      </c>
      <c r="CA127" s="44">
        <f t="shared" si="78"/>
        <v>0</v>
      </c>
      <c r="CB127" s="44">
        <f t="shared" si="78"/>
        <v>0</v>
      </c>
      <c r="CC127" s="44">
        <f t="shared" si="78"/>
        <v>0</v>
      </c>
      <c r="CD127" s="44">
        <f t="shared" si="78"/>
        <v>0</v>
      </c>
      <c r="CE127" s="46">
        <f t="shared" si="88"/>
        <v>0.12395256791677223</v>
      </c>
      <c r="CF127" s="44">
        <f t="shared" si="89"/>
        <v>8428833</v>
      </c>
      <c r="CG127" s="44"/>
      <c r="CH127" s="44">
        <f>+'[3]Acuerdo PLAN INVERSIÓN 2021'!$H$3791+'[3]Acuerdo PLAN INVERSIÓN 2021'!$H$3795</f>
        <v>8428833</v>
      </c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6">
        <f t="shared" si="54"/>
        <v>0.87604743208322777</v>
      </c>
      <c r="DE127" s="44">
        <f t="shared" si="79"/>
        <v>59571638</v>
      </c>
      <c r="DF127" s="44">
        <f t="shared" si="86"/>
        <v>0</v>
      </c>
      <c r="DG127" s="44">
        <f t="shared" si="86"/>
        <v>59571638</v>
      </c>
      <c r="DH127" s="44">
        <f t="shared" si="86"/>
        <v>0</v>
      </c>
      <c r="DI127" s="44">
        <f t="shared" si="86"/>
        <v>0</v>
      </c>
      <c r="DJ127" s="44">
        <f t="shared" si="86"/>
        <v>0</v>
      </c>
      <c r="DK127" s="44">
        <f t="shared" si="86"/>
        <v>0</v>
      </c>
      <c r="DL127" s="44">
        <f t="shared" si="86"/>
        <v>0</v>
      </c>
      <c r="DM127" s="44">
        <f t="shared" si="86"/>
        <v>0</v>
      </c>
      <c r="DN127" s="44">
        <f t="shared" si="86"/>
        <v>0</v>
      </c>
      <c r="DO127" s="44">
        <f t="shared" si="86"/>
        <v>0</v>
      </c>
      <c r="DP127" s="44">
        <f t="shared" si="86"/>
        <v>0</v>
      </c>
      <c r="DQ127" s="44">
        <f t="shared" si="86"/>
        <v>0</v>
      </c>
      <c r="DR127" s="44">
        <f t="shared" si="86"/>
        <v>0</v>
      </c>
      <c r="DS127" s="44">
        <f t="shared" si="86"/>
        <v>0</v>
      </c>
      <c r="DT127" s="44">
        <f t="shared" si="86"/>
        <v>0</v>
      </c>
      <c r="DU127" s="44">
        <f t="shared" si="84"/>
        <v>0</v>
      </c>
      <c r="DV127" s="44">
        <f t="shared" si="81"/>
        <v>0</v>
      </c>
      <c r="DW127" s="44">
        <f t="shared" si="81"/>
        <v>0</v>
      </c>
      <c r="DX127" s="44">
        <f t="shared" si="81"/>
        <v>0</v>
      </c>
      <c r="DY127" s="44">
        <f t="shared" si="81"/>
        <v>0</v>
      </c>
      <c r="DZ127" s="44">
        <f t="shared" si="81"/>
        <v>0</v>
      </c>
      <c r="EA127" s="44">
        <f t="shared" si="81"/>
        <v>0</v>
      </c>
      <c r="EB127" s="44">
        <f t="shared" si="81"/>
        <v>0</v>
      </c>
    </row>
    <row r="128" spans="1:132" ht="46.5" customHeight="1" x14ac:dyDescent="0.25">
      <c r="A128" s="50"/>
      <c r="B128" s="81"/>
      <c r="C128" s="83" t="s">
        <v>364</v>
      </c>
      <c r="D128" s="54" t="s">
        <v>365</v>
      </c>
      <c r="E128" s="122">
        <v>310</v>
      </c>
      <c r="F128" s="43" t="s">
        <v>366</v>
      </c>
      <c r="G128" s="44">
        <f t="shared" si="76"/>
        <v>101399529</v>
      </c>
      <c r="H128" s="45">
        <v>80000000</v>
      </c>
      <c r="I128" s="45">
        <f t="shared" si="82"/>
        <v>-21399529</v>
      </c>
      <c r="J128" s="78"/>
      <c r="K128" s="44">
        <f>60000000+31999529</f>
        <v>91999529</v>
      </c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>
        <f>8000000+1400000</f>
        <v>9400000</v>
      </c>
      <c r="AG128" s="46">
        <f t="shared" si="53"/>
        <v>1</v>
      </c>
      <c r="AH128" s="44">
        <f t="shared" si="87"/>
        <v>101399529</v>
      </c>
      <c r="AI128" s="44"/>
      <c r="AJ128" s="44">
        <f>+'[1]Acuerdo PLAN INVERSIÓN 2021'!$J$5305</f>
        <v>91999529</v>
      </c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>
        <f>+'[6]Acuerdo PLAN INVERSIÓN 2021'!$AF$6358</f>
        <v>9400000</v>
      </c>
      <c r="BF128" s="46">
        <f t="shared" si="55"/>
        <v>0</v>
      </c>
      <c r="BG128" s="44">
        <f t="shared" si="62"/>
        <v>0</v>
      </c>
      <c r="BH128" s="44">
        <f t="shared" si="85"/>
        <v>0</v>
      </c>
      <c r="BI128" s="44">
        <f t="shared" si="85"/>
        <v>0</v>
      </c>
      <c r="BJ128" s="44">
        <f t="shared" si="85"/>
        <v>0</v>
      </c>
      <c r="BK128" s="44">
        <f t="shared" si="85"/>
        <v>0</v>
      </c>
      <c r="BL128" s="44">
        <f t="shared" si="85"/>
        <v>0</v>
      </c>
      <c r="BM128" s="44">
        <f t="shared" si="85"/>
        <v>0</v>
      </c>
      <c r="BN128" s="44">
        <f t="shared" si="85"/>
        <v>0</v>
      </c>
      <c r="BO128" s="44">
        <f t="shared" si="85"/>
        <v>0</v>
      </c>
      <c r="BP128" s="44">
        <f t="shared" si="85"/>
        <v>0</v>
      </c>
      <c r="BQ128" s="44">
        <f t="shared" si="85"/>
        <v>0</v>
      </c>
      <c r="BR128" s="44">
        <f t="shared" si="85"/>
        <v>0</v>
      </c>
      <c r="BS128" s="44">
        <f t="shared" si="85"/>
        <v>0</v>
      </c>
      <c r="BT128" s="44">
        <f t="shared" si="85"/>
        <v>0</v>
      </c>
      <c r="BU128" s="44">
        <f t="shared" si="85"/>
        <v>0</v>
      </c>
      <c r="BV128" s="44">
        <f t="shared" si="85"/>
        <v>0</v>
      </c>
      <c r="BW128" s="44">
        <f t="shared" si="83"/>
        <v>0</v>
      </c>
      <c r="BX128" s="44">
        <f t="shared" si="78"/>
        <v>0</v>
      </c>
      <c r="BY128" s="44">
        <f t="shared" si="78"/>
        <v>0</v>
      </c>
      <c r="BZ128" s="44">
        <f t="shared" si="78"/>
        <v>0</v>
      </c>
      <c r="CA128" s="44">
        <f t="shared" si="78"/>
        <v>0</v>
      </c>
      <c r="CB128" s="44">
        <f t="shared" si="78"/>
        <v>0</v>
      </c>
      <c r="CC128" s="44">
        <f t="shared" si="78"/>
        <v>0</v>
      </c>
      <c r="CD128" s="44">
        <f t="shared" si="78"/>
        <v>0</v>
      </c>
      <c r="CE128" s="46">
        <f t="shared" si="88"/>
        <v>0.70200803398209077</v>
      </c>
      <c r="CF128" s="44">
        <f t="shared" si="89"/>
        <v>71183284</v>
      </c>
      <c r="CG128" s="44"/>
      <c r="CH128" s="44">
        <f>+'[5]Acuerdo PLAN INVERSIÓN 2021'!$H$7387-DC128</f>
        <v>61783284</v>
      </c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>
        <f>+'[5]Acuerdo PLAN INVERSIÓN 2021'!$H$7422+'[5]Acuerdo PLAN INVERSIÓN 2021'!$H$7425+'[5]Acuerdo PLAN INVERSIÓN 2021'!$H$7463</f>
        <v>9400000</v>
      </c>
      <c r="DD128" s="46">
        <f t="shared" si="54"/>
        <v>0.29799196601790923</v>
      </c>
      <c r="DE128" s="44">
        <f t="shared" si="79"/>
        <v>30216245</v>
      </c>
      <c r="DF128" s="44">
        <f t="shared" si="86"/>
        <v>0</v>
      </c>
      <c r="DG128" s="44">
        <f t="shared" si="86"/>
        <v>30216245</v>
      </c>
      <c r="DH128" s="44">
        <f t="shared" si="86"/>
        <v>0</v>
      </c>
      <c r="DI128" s="44">
        <f t="shared" si="86"/>
        <v>0</v>
      </c>
      <c r="DJ128" s="44">
        <f t="shared" si="86"/>
        <v>0</v>
      </c>
      <c r="DK128" s="44">
        <f t="shared" si="86"/>
        <v>0</v>
      </c>
      <c r="DL128" s="44">
        <f t="shared" si="86"/>
        <v>0</v>
      </c>
      <c r="DM128" s="44">
        <f t="shared" si="86"/>
        <v>0</v>
      </c>
      <c r="DN128" s="44">
        <f t="shared" si="86"/>
        <v>0</v>
      </c>
      <c r="DO128" s="44">
        <f t="shared" si="86"/>
        <v>0</v>
      </c>
      <c r="DP128" s="44">
        <f t="shared" si="86"/>
        <v>0</v>
      </c>
      <c r="DQ128" s="44">
        <f t="shared" si="86"/>
        <v>0</v>
      </c>
      <c r="DR128" s="44">
        <f t="shared" si="86"/>
        <v>0</v>
      </c>
      <c r="DS128" s="44">
        <f t="shared" si="86"/>
        <v>0</v>
      </c>
      <c r="DT128" s="44">
        <f t="shared" si="86"/>
        <v>0</v>
      </c>
      <c r="DU128" s="44">
        <f t="shared" si="84"/>
        <v>0</v>
      </c>
      <c r="DV128" s="44">
        <f t="shared" si="81"/>
        <v>0</v>
      </c>
      <c r="DW128" s="44">
        <f t="shared" si="81"/>
        <v>0</v>
      </c>
      <c r="DX128" s="44">
        <f t="shared" si="81"/>
        <v>0</v>
      </c>
      <c r="DY128" s="44">
        <f t="shared" si="81"/>
        <v>0</v>
      </c>
      <c r="DZ128" s="44">
        <f t="shared" si="81"/>
        <v>0</v>
      </c>
      <c r="EA128" s="44">
        <f t="shared" si="81"/>
        <v>0</v>
      </c>
      <c r="EB128" s="44">
        <f t="shared" si="81"/>
        <v>0</v>
      </c>
    </row>
    <row r="129" spans="1:132" s="74" customFormat="1" ht="20.25" customHeight="1" thickBot="1" x14ac:dyDescent="0.3">
      <c r="A129" s="127"/>
      <c r="B129" s="128" t="s">
        <v>367</v>
      </c>
      <c r="C129" s="129"/>
      <c r="D129" s="130"/>
      <c r="E129" s="131"/>
      <c r="F129" s="132"/>
      <c r="G129" s="92">
        <f t="shared" ref="G129:AF129" si="90">SUM(G98:G128)</f>
        <v>26514474251</v>
      </c>
      <c r="H129" s="92">
        <f t="shared" si="90"/>
        <v>15548636000</v>
      </c>
      <c r="I129" s="92">
        <f t="shared" si="90"/>
        <v>-10965838251</v>
      </c>
      <c r="J129" s="92">
        <f t="shared" si="90"/>
        <v>1298210179</v>
      </c>
      <c r="K129" s="92">
        <f t="shared" si="90"/>
        <v>1447747011</v>
      </c>
      <c r="L129" s="92">
        <f t="shared" si="90"/>
        <v>0</v>
      </c>
      <c r="M129" s="92">
        <f t="shared" si="90"/>
        <v>8774429504</v>
      </c>
      <c r="N129" s="92">
        <f t="shared" si="90"/>
        <v>6856843769</v>
      </c>
      <c r="O129" s="92">
        <f t="shared" si="90"/>
        <v>0</v>
      </c>
      <c r="P129" s="92">
        <f t="shared" si="90"/>
        <v>212423035</v>
      </c>
      <c r="Q129" s="92">
        <f t="shared" si="90"/>
        <v>660290626</v>
      </c>
      <c r="R129" s="92">
        <f t="shared" si="90"/>
        <v>593465994</v>
      </c>
      <c r="S129" s="92">
        <f t="shared" si="90"/>
        <v>446546789</v>
      </c>
      <c r="T129" s="92">
        <f t="shared" si="90"/>
        <v>734044263</v>
      </c>
      <c r="U129" s="92">
        <f t="shared" si="90"/>
        <v>620266250</v>
      </c>
      <c r="V129" s="92">
        <f t="shared" si="90"/>
        <v>201867582</v>
      </c>
      <c r="W129" s="92">
        <f t="shared" si="90"/>
        <v>690751605</v>
      </c>
      <c r="X129" s="92">
        <f t="shared" si="90"/>
        <v>331774449</v>
      </c>
      <c r="Y129" s="92">
        <f t="shared" si="90"/>
        <v>0</v>
      </c>
      <c r="Z129" s="92">
        <f t="shared" si="90"/>
        <v>0</v>
      </c>
      <c r="AA129" s="92">
        <f t="shared" si="90"/>
        <v>2037177577</v>
      </c>
      <c r="AB129" s="92">
        <f t="shared" si="90"/>
        <v>210000000</v>
      </c>
      <c r="AC129" s="92">
        <f t="shared" si="90"/>
        <v>124281898</v>
      </c>
      <c r="AD129" s="92">
        <f t="shared" si="90"/>
        <v>0</v>
      </c>
      <c r="AE129" s="92">
        <f t="shared" si="90"/>
        <v>124801187</v>
      </c>
      <c r="AF129" s="92">
        <f t="shared" si="90"/>
        <v>1149552533</v>
      </c>
      <c r="AG129" s="73">
        <f t="shared" si="53"/>
        <v>0.62383471097399434</v>
      </c>
      <c r="AH129" s="92">
        <f t="shared" ref="AH129:BE129" si="91">SUM(AH98:AH128)</f>
        <v>16540649381</v>
      </c>
      <c r="AI129" s="92">
        <f t="shared" si="91"/>
        <v>745379419</v>
      </c>
      <c r="AJ129" s="92">
        <f t="shared" si="91"/>
        <v>1230446339</v>
      </c>
      <c r="AK129" s="92">
        <f t="shared" si="91"/>
        <v>0</v>
      </c>
      <c r="AL129" s="92">
        <f t="shared" si="91"/>
        <v>3205494381</v>
      </c>
      <c r="AM129" s="92">
        <f t="shared" si="91"/>
        <v>6855066956</v>
      </c>
      <c r="AN129" s="92">
        <f t="shared" si="91"/>
        <v>0</v>
      </c>
      <c r="AO129" s="92">
        <f t="shared" si="91"/>
        <v>100000000</v>
      </c>
      <c r="AP129" s="92">
        <f t="shared" si="91"/>
        <v>510290626</v>
      </c>
      <c r="AQ129" s="92">
        <f t="shared" si="91"/>
        <v>0</v>
      </c>
      <c r="AR129" s="92">
        <f t="shared" si="91"/>
        <v>50000000</v>
      </c>
      <c r="AS129" s="92">
        <f t="shared" si="91"/>
        <v>354658104</v>
      </c>
      <c r="AT129" s="92">
        <f t="shared" si="91"/>
        <v>324980000</v>
      </c>
      <c r="AU129" s="92">
        <f t="shared" si="91"/>
        <v>47237313</v>
      </c>
      <c r="AV129" s="92">
        <f t="shared" si="91"/>
        <v>51651000</v>
      </c>
      <c r="AW129" s="92">
        <f t="shared" si="91"/>
        <v>320776495</v>
      </c>
      <c r="AX129" s="92">
        <f t="shared" si="91"/>
        <v>0</v>
      </c>
      <c r="AY129" s="92">
        <f t="shared" si="91"/>
        <v>0</v>
      </c>
      <c r="AZ129" s="92">
        <f t="shared" si="91"/>
        <v>1539813907</v>
      </c>
      <c r="BA129" s="92">
        <f t="shared" si="91"/>
        <v>210000000</v>
      </c>
      <c r="BB129" s="92">
        <f t="shared" si="91"/>
        <v>49963689</v>
      </c>
      <c r="BC129" s="92">
        <f t="shared" si="91"/>
        <v>0</v>
      </c>
      <c r="BD129" s="92">
        <f t="shared" si="91"/>
        <v>124801187</v>
      </c>
      <c r="BE129" s="92">
        <f t="shared" si="91"/>
        <v>820089965</v>
      </c>
      <c r="BF129" s="73">
        <f t="shared" si="55"/>
        <v>0.37616528902600566</v>
      </c>
      <c r="BG129" s="92">
        <f t="shared" ref="BG129:CD129" si="92">SUM(BG98:BG128)</f>
        <v>9973824870</v>
      </c>
      <c r="BH129" s="92">
        <f t="shared" si="92"/>
        <v>552830760</v>
      </c>
      <c r="BI129" s="92">
        <f t="shared" si="92"/>
        <v>217300672</v>
      </c>
      <c r="BJ129" s="92">
        <f t="shared" si="92"/>
        <v>0</v>
      </c>
      <c r="BK129" s="92">
        <f t="shared" si="92"/>
        <v>5568935123</v>
      </c>
      <c r="BL129" s="92">
        <f t="shared" si="92"/>
        <v>1776813</v>
      </c>
      <c r="BM129" s="92">
        <f t="shared" si="92"/>
        <v>0</v>
      </c>
      <c r="BN129" s="92">
        <f t="shared" si="92"/>
        <v>112423035</v>
      </c>
      <c r="BO129" s="92">
        <f t="shared" si="92"/>
        <v>150000000</v>
      </c>
      <c r="BP129" s="92">
        <f t="shared" si="92"/>
        <v>593465994</v>
      </c>
      <c r="BQ129" s="92">
        <f t="shared" si="92"/>
        <v>396546789</v>
      </c>
      <c r="BR129" s="92">
        <f t="shared" si="92"/>
        <v>379386159</v>
      </c>
      <c r="BS129" s="92">
        <f t="shared" si="92"/>
        <v>295286250</v>
      </c>
      <c r="BT129" s="92">
        <f t="shared" si="92"/>
        <v>154630269</v>
      </c>
      <c r="BU129" s="92">
        <f t="shared" si="92"/>
        <v>639100605</v>
      </c>
      <c r="BV129" s="92">
        <f t="shared" si="92"/>
        <v>10997954</v>
      </c>
      <c r="BW129" s="92">
        <f t="shared" si="92"/>
        <v>0</v>
      </c>
      <c r="BX129" s="92">
        <f t="shared" si="92"/>
        <v>0</v>
      </c>
      <c r="BY129" s="92">
        <f t="shared" si="92"/>
        <v>497363670</v>
      </c>
      <c r="BZ129" s="92">
        <f t="shared" si="92"/>
        <v>0</v>
      </c>
      <c r="CA129" s="92">
        <f t="shared" si="92"/>
        <v>74318209</v>
      </c>
      <c r="CB129" s="92">
        <f t="shared" si="92"/>
        <v>0</v>
      </c>
      <c r="CC129" s="92">
        <f t="shared" si="92"/>
        <v>0</v>
      </c>
      <c r="CD129" s="92">
        <f t="shared" si="92"/>
        <v>329462568</v>
      </c>
      <c r="CE129" s="71">
        <f t="shared" si="88"/>
        <v>0.43147513372129281</v>
      </c>
      <c r="CF129" s="92">
        <f>SUM(CF98:CF128)</f>
        <v>11440336323</v>
      </c>
      <c r="CG129" s="92">
        <f>SUM(CG98:CG128)</f>
        <v>434799132</v>
      </c>
      <c r="CH129" s="92">
        <f>SUM(CH98:CH128)</f>
        <v>934132301</v>
      </c>
      <c r="CI129" s="92">
        <f>SUM(CI98:CI128)</f>
        <v>0</v>
      </c>
      <c r="CJ129" s="92">
        <f>SUM(CJ98:CJ128)</f>
        <v>623488881</v>
      </c>
      <c r="CK129" s="92">
        <f t="shared" ref="CK129:DC129" si="93">SUM(CK98:CK128)</f>
        <v>6855066956</v>
      </c>
      <c r="CL129" s="92">
        <f t="shared" si="93"/>
        <v>0</v>
      </c>
      <c r="CM129" s="92">
        <f t="shared" si="93"/>
        <v>100000000</v>
      </c>
      <c r="CN129" s="92">
        <f t="shared" si="93"/>
        <v>510290626</v>
      </c>
      <c r="CO129" s="92">
        <f t="shared" si="93"/>
        <v>0</v>
      </c>
      <c r="CP129" s="92">
        <f t="shared" si="93"/>
        <v>0</v>
      </c>
      <c r="CQ129" s="92">
        <f t="shared" si="93"/>
        <v>0</v>
      </c>
      <c r="CR129" s="92">
        <f t="shared" si="93"/>
        <v>324980000</v>
      </c>
      <c r="CS129" s="92">
        <f t="shared" si="93"/>
        <v>0</v>
      </c>
      <c r="CT129" s="92">
        <f t="shared" si="93"/>
        <v>42007000</v>
      </c>
      <c r="CU129" s="92">
        <f t="shared" si="93"/>
        <v>0</v>
      </c>
      <c r="CV129" s="92">
        <f t="shared" si="93"/>
        <v>0</v>
      </c>
      <c r="CW129" s="92">
        <f t="shared" si="93"/>
        <v>0</v>
      </c>
      <c r="CX129" s="92">
        <f t="shared" si="93"/>
        <v>1033288084</v>
      </c>
      <c r="CY129" s="92">
        <f t="shared" si="93"/>
        <v>190706265</v>
      </c>
      <c r="CZ129" s="92">
        <f t="shared" si="93"/>
        <v>0</v>
      </c>
      <c r="DA129" s="92">
        <f t="shared" si="93"/>
        <v>0</v>
      </c>
      <c r="DB129" s="92">
        <f t="shared" si="93"/>
        <v>44817066</v>
      </c>
      <c r="DC129" s="92">
        <f t="shared" si="93"/>
        <v>346760012</v>
      </c>
      <c r="DD129" s="73">
        <f t="shared" si="54"/>
        <v>0.56852486627870724</v>
      </c>
      <c r="DE129" s="92">
        <f t="shared" ref="DE129:EB129" si="94">SUM(DE98:DE128)</f>
        <v>15074137928</v>
      </c>
      <c r="DF129" s="92">
        <f t="shared" si="94"/>
        <v>863411047</v>
      </c>
      <c r="DG129" s="92">
        <f t="shared" si="94"/>
        <v>513614710</v>
      </c>
      <c r="DH129" s="92">
        <f t="shared" si="94"/>
        <v>0</v>
      </c>
      <c r="DI129" s="92">
        <f t="shared" si="94"/>
        <v>8150940623</v>
      </c>
      <c r="DJ129" s="92">
        <f t="shared" si="94"/>
        <v>1776813</v>
      </c>
      <c r="DK129" s="92">
        <f t="shared" si="94"/>
        <v>0</v>
      </c>
      <c r="DL129" s="92">
        <f t="shared" si="94"/>
        <v>112423035</v>
      </c>
      <c r="DM129" s="92">
        <f t="shared" si="94"/>
        <v>150000000</v>
      </c>
      <c r="DN129" s="92">
        <f t="shared" si="94"/>
        <v>593465994</v>
      </c>
      <c r="DO129" s="92">
        <f t="shared" si="94"/>
        <v>446546789</v>
      </c>
      <c r="DP129" s="92">
        <f t="shared" si="94"/>
        <v>734044263</v>
      </c>
      <c r="DQ129" s="92">
        <f t="shared" si="94"/>
        <v>295286250</v>
      </c>
      <c r="DR129" s="92">
        <f t="shared" si="94"/>
        <v>201867582</v>
      </c>
      <c r="DS129" s="92">
        <f t="shared" si="94"/>
        <v>648744605</v>
      </c>
      <c r="DT129" s="92">
        <f t="shared" si="94"/>
        <v>331774449</v>
      </c>
      <c r="DU129" s="92">
        <f t="shared" si="94"/>
        <v>0</v>
      </c>
      <c r="DV129" s="92">
        <f t="shared" si="94"/>
        <v>0</v>
      </c>
      <c r="DW129" s="92">
        <f t="shared" si="94"/>
        <v>1003889493</v>
      </c>
      <c r="DX129" s="92">
        <f t="shared" si="94"/>
        <v>19293735</v>
      </c>
      <c r="DY129" s="92">
        <f t="shared" si="94"/>
        <v>124281898</v>
      </c>
      <c r="DZ129" s="92">
        <f t="shared" si="94"/>
        <v>0</v>
      </c>
      <c r="EA129" s="92">
        <f t="shared" si="94"/>
        <v>79984121</v>
      </c>
      <c r="EB129" s="92">
        <f t="shared" si="94"/>
        <v>802792521</v>
      </c>
    </row>
    <row r="130" spans="1:132" ht="5.25" customHeight="1" thickTop="1" x14ac:dyDescent="0.25">
      <c r="C130" s="133"/>
      <c r="D130" s="133"/>
      <c r="E130" s="133"/>
      <c r="F130" s="133"/>
      <c r="G130" s="134"/>
      <c r="H130" s="135"/>
      <c r="I130" s="135"/>
      <c r="J130" s="134"/>
      <c r="K130" s="136"/>
      <c r="L130" s="134"/>
      <c r="M130" s="134"/>
      <c r="N130" s="134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8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79"/>
      <c r="CF130" s="140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8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139"/>
      <c r="DU130" s="139"/>
      <c r="DV130" s="139"/>
      <c r="DW130" s="139"/>
      <c r="DX130" s="139"/>
      <c r="DY130" s="139"/>
      <c r="DZ130" s="139"/>
      <c r="EA130" s="139"/>
      <c r="EB130" s="139"/>
    </row>
    <row r="131" spans="1:132" ht="19.5" customHeight="1" x14ac:dyDescent="0.25">
      <c r="C131" s="141" t="s">
        <v>368</v>
      </c>
      <c r="D131" s="142"/>
      <c r="E131" s="143"/>
      <c r="F131" s="144"/>
      <c r="G131" s="139">
        <f t="shared" ref="G131:AF131" si="95">G24+G50+G77+G97+G129</f>
        <v>47285614871</v>
      </c>
      <c r="H131" s="145">
        <f t="shared" si="95"/>
        <v>37326786386</v>
      </c>
      <c r="I131" s="145">
        <f t="shared" si="95"/>
        <v>-9958828485</v>
      </c>
      <c r="J131" s="139">
        <f t="shared" si="95"/>
        <v>2422439838</v>
      </c>
      <c r="K131" s="139">
        <f t="shared" si="95"/>
        <v>3721535284</v>
      </c>
      <c r="L131" s="139">
        <f t="shared" si="95"/>
        <v>24243035</v>
      </c>
      <c r="M131" s="139">
        <f t="shared" si="95"/>
        <v>9772000888</v>
      </c>
      <c r="N131" s="139">
        <f t="shared" si="95"/>
        <v>6856843769</v>
      </c>
      <c r="O131" s="139">
        <f t="shared" si="95"/>
        <v>167645552</v>
      </c>
      <c r="P131" s="139">
        <f t="shared" si="95"/>
        <v>212423035</v>
      </c>
      <c r="Q131" s="139">
        <f t="shared" si="95"/>
        <v>4066423197</v>
      </c>
      <c r="R131" s="139">
        <f t="shared" si="95"/>
        <v>668465994</v>
      </c>
      <c r="S131" s="139">
        <f t="shared" si="95"/>
        <v>626546789</v>
      </c>
      <c r="T131" s="139">
        <f t="shared" si="95"/>
        <v>764044263</v>
      </c>
      <c r="U131" s="139">
        <f t="shared" si="95"/>
        <v>709673874</v>
      </c>
      <c r="V131" s="139">
        <f t="shared" si="95"/>
        <v>201867582</v>
      </c>
      <c r="W131" s="139">
        <f t="shared" si="95"/>
        <v>690751605</v>
      </c>
      <c r="X131" s="139">
        <f t="shared" si="95"/>
        <v>436609040</v>
      </c>
      <c r="Y131" s="139">
        <f t="shared" si="95"/>
        <v>4234779075</v>
      </c>
      <c r="Z131" s="139">
        <f t="shared" si="95"/>
        <v>1208521042</v>
      </c>
      <c r="AA131" s="139">
        <f t="shared" si="95"/>
        <v>3653080573</v>
      </c>
      <c r="AB131" s="139">
        <f t="shared" si="95"/>
        <v>896735515</v>
      </c>
      <c r="AC131" s="139">
        <f t="shared" si="95"/>
        <v>1853354458</v>
      </c>
      <c r="AD131" s="139">
        <f t="shared" si="95"/>
        <v>475996742</v>
      </c>
      <c r="AE131" s="139">
        <f>AE24+AE50+AE77+AE97+AE129</f>
        <v>547409151</v>
      </c>
      <c r="AF131" s="139">
        <f t="shared" si="95"/>
        <v>3074224570</v>
      </c>
      <c r="AG131" s="46">
        <f>AH131/G131</f>
        <v>0.68886984417701258</v>
      </c>
      <c r="AH131" s="139">
        <f t="shared" ref="AH131:BE131" si="96">AH24+AH50+AH77+AH97+AH129</f>
        <v>32573634148</v>
      </c>
      <c r="AI131" s="139">
        <f t="shared" si="96"/>
        <v>1215982245</v>
      </c>
      <c r="AJ131" s="101">
        <f t="shared" si="96"/>
        <v>3257878420</v>
      </c>
      <c r="AK131" s="101">
        <f t="shared" si="96"/>
        <v>2000000</v>
      </c>
      <c r="AL131" s="101">
        <f t="shared" si="96"/>
        <v>3989285892</v>
      </c>
      <c r="AM131" s="101">
        <f t="shared" si="96"/>
        <v>6855066956</v>
      </c>
      <c r="AN131" s="101">
        <f t="shared" si="96"/>
        <v>155819660</v>
      </c>
      <c r="AO131" s="139">
        <f t="shared" si="96"/>
        <v>100000000</v>
      </c>
      <c r="AP131" s="139">
        <f t="shared" si="96"/>
        <v>2769764971</v>
      </c>
      <c r="AQ131" s="139">
        <f t="shared" si="96"/>
        <v>58183470</v>
      </c>
      <c r="AR131" s="139">
        <f t="shared" si="96"/>
        <v>107981429</v>
      </c>
      <c r="AS131" s="139">
        <f t="shared" si="96"/>
        <v>376515468</v>
      </c>
      <c r="AT131" s="139">
        <f t="shared" si="96"/>
        <v>372157846</v>
      </c>
      <c r="AU131" s="139">
        <f t="shared" si="96"/>
        <v>47237313</v>
      </c>
      <c r="AV131" s="139">
        <f t="shared" si="96"/>
        <v>51651000</v>
      </c>
      <c r="AW131" s="139">
        <f t="shared" si="96"/>
        <v>370776495</v>
      </c>
      <c r="AX131" s="139">
        <f t="shared" si="96"/>
        <v>3784780270</v>
      </c>
      <c r="AY131" s="139">
        <f t="shared" si="96"/>
        <v>1039845000</v>
      </c>
      <c r="AZ131" s="139">
        <f t="shared" si="96"/>
        <v>2618218341</v>
      </c>
      <c r="BA131" s="139">
        <f t="shared" si="96"/>
        <v>858292098</v>
      </c>
      <c r="BB131" s="139">
        <f t="shared" si="96"/>
        <v>1102823138</v>
      </c>
      <c r="BC131" s="139">
        <f t="shared" si="96"/>
        <v>467767409</v>
      </c>
      <c r="BD131" s="139">
        <f t="shared" si="96"/>
        <v>547409151</v>
      </c>
      <c r="BE131" s="139">
        <f t="shared" si="96"/>
        <v>2424197576</v>
      </c>
      <c r="BF131" s="146">
        <f>1-AG131</f>
        <v>0.31113015582298742</v>
      </c>
      <c r="BG131" s="139">
        <f t="shared" ref="BG131:CD131" si="97">BG24+BG50+BG77+BG97+BG129</f>
        <v>14711980723</v>
      </c>
      <c r="BH131" s="139">
        <f t="shared" si="97"/>
        <v>1206457593</v>
      </c>
      <c r="BI131" s="101">
        <f t="shared" si="97"/>
        <v>463656864</v>
      </c>
      <c r="BJ131" s="101">
        <f t="shared" si="97"/>
        <v>22243035</v>
      </c>
      <c r="BK131" s="101">
        <f t="shared" si="97"/>
        <v>5782714996</v>
      </c>
      <c r="BL131" s="101">
        <f t="shared" si="97"/>
        <v>1776813</v>
      </c>
      <c r="BM131" s="101">
        <f t="shared" si="97"/>
        <v>11825892</v>
      </c>
      <c r="BN131" s="139">
        <f t="shared" si="97"/>
        <v>112423035</v>
      </c>
      <c r="BO131" s="139">
        <f t="shared" si="97"/>
        <v>1296658226</v>
      </c>
      <c r="BP131" s="139">
        <f t="shared" si="97"/>
        <v>610282524</v>
      </c>
      <c r="BQ131" s="139">
        <f t="shared" si="97"/>
        <v>518565360</v>
      </c>
      <c r="BR131" s="139">
        <f t="shared" si="97"/>
        <v>387528795</v>
      </c>
      <c r="BS131" s="139">
        <f t="shared" si="97"/>
        <v>337516028</v>
      </c>
      <c r="BT131" s="139">
        <f t="shared" si="97"/>
        <v>154630269</v>
      </c>
      <c r="BU131" s="139">
        <f t="shared" si="97"/>
        <v>639100605</v>
      </c>
      <c r="BV131" s="139">
        <f t="shared" si="97"/>
        <v>65832545</v>
      </c>
      <c r="BW131" s="139">
        <f t="shared" si="97"/>
        <v>449998805</v>
      </c>
      <c r="BX131" s="139">
        <f t="shared" si="97"/>
        <v>168676042</v>
      </c>
      <c r="BY131" s="139">
        <f t="shared" si="97"/>
        <v>1034862232</v>
      </c>
      <c r="BZ131" s="139">
        <f t="shared" si="97"/>
        <v>38443417</v>
      </c>
      <c r="CA131" s="139">
        <f t="shared" si="97"/>
        <v>750531320</v>
      </c>
      <c r="CB131" s="139">
        <f t="shared" si="97"/>
        <v>8229333</v>
      </c>
      <c r="CC131" s="139">
        <f t="shared" si="97"/>
        <v>0</v>
      </c>
      <c r="CD131" s="139">
        <f t="shared" si="97"/>
        <v>650026994</v>
      </c>
      <c r="CE131" s="46">
        <f>CF131/G131</f>
        <v>0.49531354715161147</v>
      </c>
      <c r="CF131" s="139">
        <f>CF24+CF50+CF77+CF97+CF129</f>
        <v>23421205631</v>
      </c>
      <c r="CG131" s="139">
        <f>CG24+CG50+CG77+CG97+CG129</f>
        <v>775200465</v>
      </c>
      <c r="CH131" s="139">
        <f>CH24+CH50+CH77+CH97+CH129</f>
        <v>2774333262</v>
      </c>
      <c r="CI131" s="139">
        <f>CI24+CI50+CI77+CI97+CI129</f>
        <v>2000000</v>
      </c>
      <c r="CJ131" s="139">
        <f t="shared" ref="CJ131:DC131" si="98">CJ24+CJ50+CJ77+CJ97+CJ129</f>
        <v>1003224486</v>
      </c>
      <c r="CK131" s="139">
        <f t="shared" si="98"/>
        <v>6855066956</v>
      </c>
      <c r="CL131" s="139">
        <f t="shared" si="98"/>
        <v>121783331</v>
      </c>
      <c r="CM131" s="139">
        <f t="shared" si="98"/>
        <v>100000000</v>
      </c>
      <c r="CN131" s="139">
        <f t="shared" si="98"/>
        <v>2190412835</v>
      </c>
      <c r="CO131" s="139">
        <f t="shared" si="98"/>
        <v>20074931</v>
      </c>
      <c r="CP131" s="139">
        <f t="shared" si="98"/>
        <v>21592891</v>
      </c>
      <c r="CQ131" s="139">
        <f t="shared" si="98"/>
        <v>12174526</v>
      </c>
      <c r="CR131" s="139">
        <f t="shared" si="98"/>
        <v>348974049</v>
      </c>
      <c r="CS131" s="139">
        <f t="shared" si="98"/>
        <v>0</v>
      </c>
      <c r="CT131" s="139">
        <f t="shared" si="98"/>
        <v>42007000</v>
      </c>
      <c r="CU131" s="139">
        <f t="shared" si="98"/>
        <v>7513999</v>
      </c>
      <c r="CV131" s="139">
        <f t="shared" si="98"/>
        <v>3157609557</v>
      </c>
      <c r="CW131" s="139">
        <f t="shared" si="98"/>
        <v>778566385</v>
      </c>
      <c r="CX131" s="139">
        <f t="shared" si="98"/>
        <v>1737994924</v>
      </c>
      <c r="CY131" s="139">
        <f t="shared" si="98"/>
        <v>496337204</v>
      </c>
      <c r="CZ131" s="139">
        <f t="shared" si="98"/>
        <v>829578631</v>
      </c>
      <c r="DA131" s="139">
        <f t="shared" si="98"/>
        <v>311472790</v>
      </c>
      <c r="DB131" s="139">
        <f t="shared" si="98"/>
        <v>44817066</v>
      </c>
      <c r="DC131" s="139">
        <f t="shared" si="98"/>
        <v>1790470343</v>
      </c>
      <c r="DD131" s="46">
        <f>1-CE131</f>
        <v>0.50468645284838853</v>
      </c>
      <c r="DE131" s="139">
        <f t="shared" ref="DE131:EB131" si="99">DE24+DE50+DE77+DE97+DE129</f>
        <v>23864409240</v>
      </c>
      <c r="DF131" s="139">
        <f t="shared" si="99"/>
        <v>1647239373</v>
      </c>
      <c r="DG131" s="139">
        <f t="shared" si="99"/>
        <v>947202022</v>
      </c>
      <c r="DH131" s="139">
        <f t="shared" si="99"/>
        <v>22243035</v>
      </c>
      <c r="DI131" s="139">
        <f t="shared" si="99"/>
        <v>8768776402</v>
      </c>
      <c r="DJ131" s="139">
        <f t="shared" si="99"/>
        <v>1776813</v>
      </c>
      <c r="DK131" s="139">
        <f t="shared" si="99"/>
        <v>45862221</v>
      </c>
      <c r="DL131" s="139">
        <f t="shared" si="99"/>
        <v>112423035</v>
      </c>
      <c r="DM131" s="139">
        <f t="shared" si="99"/>
        <v>1876010362</v>
      </c>
      <c r="DN131" s="139">
        <f t="shared" si="99"/>
        <v>648391063</v>
      </c>
      <c r="DO131" s="139">
        <f t="shared" si="99"/>
        <v>604953898</v>
      </c>
      <c r="DP131" s="139">
        <f t="shared" si="99"/>
        <v>751869737</v>
      </c>
      <c r="DQ131" s="139">
        <f t="shared" si="99"/>
        <v>360699825</v>
      </c>
      <c r="DR131" s="139">
        <f t="shared" si="99"/>
        <v>201867582</v>
      </c>
      <c r="DS131" s="139">
        <f t="shared" si="99"/>
        <v>648744605</v>
      </c>
      <c r="DT131" s="139">
        <f t="shared" si="99"/>
        <v>429095041</v>
      </c>
      <c r="DU131" s="139">
        <f t="shared" si="99"/>
        <v>1077169518</v>
      </c>
      <c r="DV131" s="139">
        <f t="shared" si="99"/>
        <v>429954657</v>
      </c>
      <c r="DW131" s="139">
        <f t="shared" si="99"/>
        <v>1915085649</v>
      </c>
      <c r="DX131" s="139">
        <f t="shared" si="99"/>
        <v>400398311</v>
      </c>
      <c r="DY131" s="139">
        <f t="shared" si="99"/>
        <v>1023775827</v>
      </c>
      <c r="DZ131" s="139">
        <f t="shared" si="99"/>
        <v>164523952</v>
      </c>
      <c r="EA131" s="139">
        <f t="shared" si="99"/>
        <v>502592085</v>
      </c>
      <c r="EB131" s="139">
        <f t="shared" si="99"/>
        <v>1283754227</v>
      </c>
    </row>
    <row r="132" spans="1:132" ht="5.25" customHeight="1" x14ac:dyDescent="0.25">
      <c r="C132" s="147"/>
      <c r="D132" s="147"/>
      <c r="E132" s="148"/>
      <c r="F132" s="148"/>
      <c r="G132" s="149"/>
      <c r="H132" s="150"/>
      <c r="I132" s="150"/>
      <c r="J132" s="149"/>
      <c r="K132" s="151"/>
      <c r="L132" s="149"/>
      <c r="M132" s="149"/>
      <c r="N132" s="149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  <c r="AF132" s="152"/>
      <c r="AG132" s="153"/>
      <c r="AH132" s="154"/>
      <c r="AI132" s="154"/>
      <c r="AJ132" s="154"/>
      <c r="AK132" s="154"/>
      <c r="AL132" s="154"/>
      <c r="AM132" s="154"/>
      <c r="AN132" s="154"/>
      <c r="AO132" s="154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3"/>
      <c r="BG132" s="154"/>
      <c r="BH132" s="154"/>
      <c r="BI132" s="154"/>
      <c r="BJ132" s="154"/>
      <c r="BK132" s="154"/>
      <c r="BL132" s="154"/>
      <c r="BM132" s="154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46"/>
      <c r="CF132" s="156"/>
      <c r="CG132" s="157"/>
      <c r="CH132" s="157"/>
      <c r="CI132" s="157"/>
      <c r="CJ132" s="157"/>
      <c r="CK132" s="157"/>
      <c r="CL132" s="157"/>
      <c r="CM132" s="152"/>
      <c r="CN132" s="152"/>
      <c r="CO132" s="152"/>
      <c r="CP132" s="152"/>
      <c r="CQ132" s="152"/>
      <c r="CR132" s="152"/>
      <c r="CS132" s="152"/>
      <c r="CT132" s="152"/>
      <c r="CU132" s="152"/>
      <c r="CV132" s="152"/>
      <c r="CW132" s="152"/>
      <c r="CX132" s="152"/>
      <c r="CY132" s="152"/>
      <c r="CZ132" s="152"/>
      <c r="DA132" s="152"/>
      <c r="DB132" s="152"/>
      <c r="DC132" s="152"/>
      <c r="DD132" s="46"/>
      <c r="DE132" s="158"/>
      <c r="DF132" s="154"/>
      <c r="DG132" s="154"/>
      <c r="DH132" s="154"/>
      <c r="DI132" s="154"/>
      <c r="DJ132" s="154"/>
      <c r="DK132" s="154"/>
      <c r="DL132" s="155"/>
      <c r="DM132" s="155"/>
      <c r="DN132" s="155"/>
      <c r="DO132" s="155"/>
      <c r="DP132" s="155"/>
      <c r="DQ132" s="155"/>
      <c r="DR132" s="155"/>
      <c r="DS132" s="155"/>
      <c r="DT132" s="155"/>
      <c r="DU132" s="155"/>
      <c r="DV132" s="155"/>
      <c r="DW132" s="155"/>
      <c r="DX132" s="155"/>
      <c r="DY132" s="155"/>
      <c r="DZ132" s="155"/>
      <c r="EA132" s="155"/>
      <c r="EB132" s="155"/>
    </row>
    <row r="133" spans="1:132" ht="16.5" customHeight="1" x14ac:dyDescent="0.25">
      <c r="C133" s="159"/>
      <c r="D133" s="160" t="s">
        <v>369</v>
      </c>
      <c r="E133" s="153">
        <v>111</v>
      </c>
      <c r="F133" s="161"/>
      <c r="G133" s="162">
        <f ca="1">SUMIF($E$6:$G$129,"111",$G$6:$J$128)</f>
        <v>14944040739</v>
      </c>
      <c r="H133" s="163">
        <f ca="1">SUMIF($E$6:$H$129,"111",$H$6:$J$128)</f>
        <v>3809136000</v>
      </c>
      <c r="I133" s="163">
        <f ca="1">SUMIF($E$6:$I$129,"111",$I$6:$J$128)</f>
        <v>-11134904739</v>
      </c>
      <c r="J133" s="162">
        <f>SUMIF($E$6:$E$129,"111",$J$6:$J$129)</f>
        <v>434799132</v>
      </c>
      <c r="K133" s="162">
        <f>SUMIF($E$6:$E$129,"111",$K$6:$K$129)</f>
        <v>63671594</v>
      </c>
      <c r="L133" s="162">
        <f>SUMIF($E$6:$E$129,"111",$L$6:$L$129)</f>
        <v>0</v>
      </c>
      <c r="M133" s="162">
        <f>SUMIF($E$6:$E$129,"111",$M$6:$M$129)</f>
        <v>4054720759</v>
      </c>
      <c r="N133" s="164">
        <f>SUMIF($E$6:$E$128,"111",$N$6:$N$128)</f>
        <v>6856843769</v>
      </c>
      <c r="O133" s="161">
        <f>SUMIF($E$6:$E$129,"111",$O$6:$O$129)</f>
        <v>0</v>
      </c>
      <c r="P133" s="161">
        <f>SUMIF($E$6:$E$128,"111",$P$6:$P$128)</f>
        <v>0</v>
      </c>
      <c r="Q133" s="161">
        <f>SUMIF($E$6:$E$128,"111",$Q$6:$Q$128)</f>
        <v>510290626</v>
      </c>
      <c r="R133" s="161">
        <f>SUMIF($E$6:$E$128,"111",$R$6:$R$128)</f>
        <v>593465994</v>
      </c>
      <c r="S133" s="161">
        <f>SUMIF($E$6:$E$128,"111",$S$6:$S$128)</f>
        <v>100000000</v>
      </c>
      <c r="T133" s="161">
        <f>SUMIF($E$6:$E$128,"111",$T$6:$T$128)</f>
        <v>664044263</v>
      </c>
      <c r="U133" s="161">
        <f>SUMIF($E$6:$E$128,"111",$U$6:$U$128)</f>
        <v>0</v>
      </c>
      <c r="V133" s="161">
        <f>SUMIF($E$6:$E$128,"111",$V$6:$V$128)</f>
        <v>154630269</v>
      </c>
      <c r="W133" s="161">
        <f>SUMIF($E$6:$E$128,"111",$W$6:$W$128)</f>
        <v>614527934</v>
      </c>
      <c r="X133" s="161">
        <f>SUMIF($E$6:$E$128,"111",$X$6:$X$128)</f>
        <v>290776495</v>
      </c>
      <c r="Y133" s="161">
        <f>SUMIF($E$6:$E$128,"111",$Y$6:$Y$128)</f>
        <v>0</v>
      </c>
      <c r="Z133" s="161">
        <f>SUMIF($E$6:$E$128,"111",$Z$6:$Z$128)</f>
        <v>0</v>
      </c>
      <c r="AA133" s="161">
        <f>SUMIF($E$6:$E$128,"111",$AA$6:$AA$128)</f>
        <v>404000000</v>
      </c>
      <c r="AB133" s="161">
        <f>SUMIF($E$6:$E$128,"111",$AB$6:$AB$128)</f>
        <v>0</v>
      </c>
      <c r="AC133" s="161">
        <f>SUMIF($E$6:$E$128,"111",$AC$6:$AC$128)</f>
        <v>0</v>
      </c>
      <c r="AD133" s="161">
        <f>SUMIF($E$6:$E$128,"111",$AC$6:$AC$128)</f>
        <v>0</v>
      </c>
      <c r="AE133" s="161">
        <f>SUMIF($E$6:$E$128,"111",$AE$6:$AE$128)</f>
        <v>77846638</v>
      </c>
      <c r="AF133" s="161">
        <f>SUMIF($E$6:$E$128,"111",$AF$6:$AF$128)</f>
        <v>124423266</v>
      </c>
      <c r="AG133" s="46">
        <f t="shared" ref="AG133:AG140" ca="1" si="100">AH133/G133</f>
        <v>0.70756225967753639</v>
      </c>
      <c r="AH133" s="164">
        <f>SUMIF($E$6:$E$128,"111",$AH$6:$AH$128)</f>
        <v>10573839234</v>
      </c>
      <c r="AI133" s="164">
        <f>SUMIF($E$6:$E$128,"111",$AI$6:$AI$128)</f>
        <v>434799132</v>
      </c>
      <c r="AJ133" s="164">
        <f>SUMIF($E$6:$E$128,"111",$AJ$6:$AJ$128)</f>
        <v>63671594</v>
      </c>
      <c r="AK133" s="164">
        <f>SUMIF($E$6:$E$128,"111",$AK$6:$AK$128)</f>
        <v>0</v>
      </c>
      <c r="AL133" s="164">
        <f>SUMIF($E$6:$E$128,"111",$AL$6:$AL$128)</f>
        <v>1458829191</v>
      </c>
      <c r="AM133" s="164">
        <f>SUMIF($E$6:$E$128,"111",$AM$6:$AM$128)</f>
        <v>6855066956</v>
      </c>
      <c r="AN133" s="164">
        <f>SUMIF($E$6:$E$128,"111",$AN$6:$AN$128)</f>
        <v>0</v>
      </c>
      <c r="AO133" s="164">
        <f>SUMIF($E$6:$E$128,"111",$AO$6:$AO$128)</f>
        <v>0</v>
      </c>
      <c r="AP133" s="164">
        <f>SUMIF($E$6:$E$128,"111",$AP$6:$AP$128)</f>
        <v>510290626</v>
      </c>
      <c r="AQ133" s="164">
        <f>SUMIF($E$6:$E$128,"111",$AQ$6:$AQ$128)</f>
        <v>0</v>
      </c>
      <c r="AR133" s="164">
        <f>SUMIF($E$6:$E$128,"111",$AR$6:$AR$128)</f>
        <v>0</v>
      </c>
      <c r="AS133" s="164">
        <f>SUMIF($E$6:$E$128,"111",$AS$6:$AS$128)</f>
        <v>354658104</v>
      </c>
      <c r="AT133" s="164">
        <f>SUMIF($E$6:$E$128,"111",$AT$6:$AT$128)</f>
        <v>0</v>
      </c>
      <c r="AU133" s="164">
        <f>SUMIF($E$6:$E$128,"111",$AU$6:$AU$128)</f>
        <v>0</v>
      </c>
      <c r="AV133" s="164">
        <f>SUMIF($E$6:$E$128,"111",$AV$6:$AV$128)</f>
        <v>51651000</v>
      </c>
      <c r="AW133" s="164">
        <f>SUMIF($E$6:$E$128,"111",$AW$6:$AW$128)</f>
        <v>290776495</v>
      </c>
      <c r="AX133" s="164">
        <f>SUMIF($E$6:$E$128,"111",$AX$6:$AX$128)</f>
        <v>0</v>
      </c>
      <c r="AY133" s="164">
        <f>SUMIF($E$6:$E$128,"111",$AY$6:$AY$128)</f>
        <v>0</v>
      </c>
      <c r="AZ133" s="164">
        <f>SUMIF($E$6:$E$128,"111",$AZ$6:$AZ$128)</f>
        <v>403999498</v>
      </c>
      <c r="BA133" s="164">
        <f>SUMIF($E$6:$E$128,"111",$BA$6:$BA$128)</f>
        <v>0</v>
      </c>
      <c r="BB133" s="164">
        <f>SUMIF($E$6:$E$128,"111",$BB$6:$BB$128)</f>
        <v>0</v>
      </c>
      <c r="BC133" s="164">
        <f>SUMIF($E$6:$E$128,"111",$BC$6:$BC$128)</f>
        <v>0</v>
      </c>
      <c r="BD133" s="164">
        <f>SUMIF($E$6:$E$128,"111",$BD$6:$BD$128)</f>
        <v>77846638</v>
      </c>
      <c r="BE133" s="164">
        <f>SUMIF($E$6:$E$128,"111",$BE$6:$BE$128)</f>
        <v>72250000</v>
      </c>
      <c r="BF133" s="146">
        <f t="shared" ref="BF133:BF140" ca="1" si="101">1-AG133</f>
        <v>0.29243774032246361</v>
      </c>
      <c r="BG133" s="49">
        <f t="shared" ref="BG133:BG139" si="102">SUM(BH133:CD133)</f>
        <v>4370201505</v>
      </c>
      <c r="BH133" s="165">
        <f>SUMIF($E$6:$E$128,"111",$BH$6:$BH$128)</f>
        <v>0</v>
      </c>
      <c r="BI133" s="165">
        <f>SUMIF($E$6:$E$128,"111",$BI$6:$BI$128)</f>
        <v>0</v>
      </c>
      <c r="BJ133" s="165">
        <f>SUMIF($E$6:$E$128,"111",$BJ$6:$BJ$128)</f>
        <v>0</v>
      </c>
      <c r="BK133" s="165">
        <f>SUMIF($E$6:$E$128,"111",$BK$6:$BK$128)</f>
        <v>2595891568</v>
      </c>
      <c r="BL133" s="165">
        <f>SUMIF($E$6:$E$128,"111",$BL$6:$BL$128)</f>
        <v>1776813</v>
      </c>
      <c r="BM133" s="165">
        <f>SUMIF($E$6:$E$128,"111",$BM$6:$BM$128)</f>
        <v>0</v>
      </c>
      <c r="BN133" s="165">
        <f>SUMIF($E$6:$E$128,"111",$BN$6:$BN$128)</f>
        <v>0</v>
      </c>
      <c r="BO133" s="165">
        <f>SUMIF($E$6:$E$128,"111",$BO$6:$BO$128)</f>
        <v>0</v>
      </c>
      <c r="BP133" s="165">
        <f>SUMIF($E$6:$E$128,"111",$BP$6:$BP$128)</f>
        <v>593465994</v>
      </c>
      <c r="BQ133" s="165">
        <f>SUMIF($E$6:$E$128,"111",$BQ$6:$BQ$128)</f>
        <v>100000000</v>
      </c>
      <c r="BR133" s="165">
        <f>SUMIF($E$6:$E$128,"111",$BR$6:$BR$128)</f>
        <v>309386159</v>
      </c>
      <c r="BS133" s="165">
        <f>SUMIF($E$6:$E$128,"111",$BS$6:$BS$128)</f>
        <v>0</v>
      </c>
      <c r="BT133" s="165">
        <f>SUMIF($E$6:$E$128,"111",$BT$6:$BT$128)</f>
        <v>154630269</v>
      </c>
      <c r="BU133" s="165">
        <f>SUMIF($E$6:$E$128,"111",$BU$6:$BU$128)</f>
        <v>562876934</v>
      </c>
      <c r="BV133" s="165">
        <f>SUMIF($E$6:$E$128,"111",$BV$6:$BV$128)</f>
        <v>0</v>
      </c>
      <c r="BW133" s="165">
        <f>SUMIF($E$6:$E$128,"111",$BW$6:$BW$128)</f>
        <v>0</v>
      </c>
      <c r="BX133" s="165">
        <f>SUMIF($E$6:$E$128,"111",$BX$6:$BX$128)</f>
        <v>0</v>
      </c>
      <c r="BY133" s="165">
        <f>SUMIF($E$6:$E$128,"111",$BY$6:$BY$128)</f>
        <v>502</v>
      </c>
      <c r="BZ133" s="165">
        <f>SUMIF($E$6:$E$128,"111",$BZ$6:$BZ$128)</f>
        <v>0</v>
      </c>
      <c r="CA133" s="165">
        <f>SUMIF($E$6:$E$128,"111",$CA$6:$CA$128)</f>
        <v>0</v>
      </c>
      <c r="CB133" s="165">
        <f>SUMIF($E$6:$E$128,"111",$CB$6:$CB$128)</f>
        <v>0</v>
      </c>
      <c r="CC133" s="165">
        <f>SUMIF($E$6:$E$128,"111",$CC$6:$CC$128)</f>
        <v>0</v>
      </c>
      <c r="CD133" s="166">
        <f>SUMIF($E$6:$E$128,"111",$CD$6:$CD$128)</f>
        <v>52173266</v>
      </c>
      <c r="CE133" s="46">
        <f t="shared" ref="CE133:CE140" ca="1" si="103">CF133/G133</f>
        <v>0.56006499742452287</v>
      </c>
      <c r="CF133" s="78">
        <f t="shared" ref="CF133:CF139" si="104">SUM(CG133:DC133)</f>
        <v>8369634138</v>
      </c>
      <c r="CG133" s="164">
        <f>SUMIF($E$6:$E$128,"111",$CG$6:$CG$128)</f>
        <v>434799132</v>
      </c>
      <c r="CH133" s="164">
        <f>SUMIF($E$6:$E$128,"111",$CH$6:$CH$128)</f>
        <v>0</v>
      </c>
      <c r="CI133" s="164">
        <f>SUMIF($E$6:$E$128,"111",$CI$6:$CI$128)</f>
        <v>0</v>
      </c>
      <c r="CJ133" s="164">
        <f>SUMIF($E$6:$E$128,"111",$CJ$6:$CJ$128)</f>
        <v>477638105</v>
      </c>
      <c r="CK133" s="164">
        <f>SUMIF($E$6:$E$128,"111",$CK$6:$CK$128)</f>
        <v>6855066956</v>
      </c>
      <c r="CL133" s="164">
        <f>SUMIF($E$6:$E$128,"111",$CL$6:$CL$128)</f>
        <v>0</v>
      </c>
      <c r="CM133" s="164">
        <f>SUMIF($E$6:$E$128,"111",$CM$6:$CM$128)</f>
        <v>0</v>
      </c>
      <c r="CN133" s="164">
        <f>SUMIF($E$6:$E$128,"111",$CN$6:$CN$128)</f>
        <v>510290626</v>
      </c>
      <c r="CO133" s="164">
        <f>SUMIF($E$6:$E$128,"111",$CO$6:$CO$128)</f>
        <v>0</v>
      </c>
      <c r="CP133" s="164">
        <f>SUMIF($E$6:$E$128,"111",$CP$6:$CP$128)</f>
        <v>0</v>
      </c>
      <c r="CQ133" s="164">
        <f>SUMIF($E$6:$E$128,"111",$CQ$6:$CQ$128)</f>
        <v>0</v>
      </c>
      <c r="CR133" s="164">
        <f>SUMIF($E$6:$E$128,"111",$CR$6:$CR$128)</f>
        <v>0</v>
      </c>
      <c r="CS133" s="164">
        <f>SUMIF($E$6:$E$128,"111",$CS$6:$CS$128)</f>
        <v>0</v>
      </c>
      <c r="CT133" s="164">
        <f>SUMIF($E$6:$E$128,"111",$CT$6:$CT$128)</f>
        <v>42007000</v>
      </c>
      <c r="CU133" s="164">
        <f>SUMIF($E$6:$E$128,"111",$CU$6:$CU$128)</f>
        <v>0</v>
      </c>
      <c r="CV133" s="164">
        <f>SUMIF($E$6:$E$128,"111",$CV$6:$CV$128)</f>
        <v>0</v>
      </c>
      <c r="CW133" s="164">
        <f>SUMIF($E$6:$E$128,"111",$CW$6:$CW$128)</f>
        <v>0</v>
      </c>
      <c r="CX133" s="164">
        <f>SUMIF($E$6:$E$128,"111",$CX$6:$CX$128)</f>
        <v>13021449</v>
      </c>
      <c r="CY133" s="164">
        <f>SUMIF($E$6:$E$128,"111",$CY$6:$CY$128)</f>
        <v>0</v>
      </c>
      <c r="CZ133" s="164">
        <f>SUMIF($E$6:$E$128,"111",$CZ$6:$CZ$128)</f>
        <v>0</v>
      </c>
      <c r="DA133" s="164">
        <f>SUMIF($E$6:$E$128,"111",$DA$6:$DA$128)</f>
        <v>0</v>
      </c>
      <c r="DB133" s="164">
        <f>SUMIF($E$6:$E$128,"111",$DB$6:$DB$128)</f>
        <v>0</v>
      </c>
      <c r="DC133" s="167">
        <f>SUMIF($E$6:$E$128,"111",$DC$6:$DC$128)</f>
        <v>36810870</v>
      </c>
      <c r="DD133" s="46">
        <f t="shared" ref="DD133:DD140" ca="1" si="105">1-CE133</f>
        <v>0.43993500257547713</v>
      </c>
      <c r="DE133" s="49">
        <f t="shared" ref="DE133:DE139" si="106">SUM(DF133:EB133)</f>
        <v>6574406601</v>
      </c>
      <c r="DF133" s="165">
        <f>SUMIF($E$6:$E$128,"111",$DF$6:$DF$128)</f>
        <v>0</v>
      </c>
      <c r="DG133" s="165">
        <f>SUMIF($E$6:$E$128,"111",$DG$6:$DG$128)</f>
        <v>63671594</v>
      </c>
      <c r="DH133" s="165">
        <f>SUMIF($E$6:$E$128,"111",$DH$6:$DH$128)</f>
        <v>0</v>
      </c>
      <c r="DI133" s="165">
        <f>SUMIF($E$6:$E$128,"111",$DI$6:$DI$128)</f>
        <v>3577082654</v>
      </c>
      <c r="DJ133" s="165">
        <f>SUMIF($E$6:$E$128,"111",$DJ$6:$DJ$128)</f>
        <v>1776813</v>
      </c>
      <c r="DK133" s="165">
        <f>SUMIF($E$6:$E$128,"111",$DK$6:$DK$128)</f>
        <v>0</v>
      </c>
      <c r="DL133" s="165">
        <f>SUMIF($E$6:$E$128,"111",$DL$6:$DL$128)</f>
        <v>0</v>
      </c>
      <c r="DM133" s="165">
        <f>SUMIF($E$6:$E$128,"111",$DM$6:$DM$128)</f>
        <v>0</v>
      </c>
      <c r="DN133" s="165">
        <f>SUMIF($E$6:$E$128,"111",$DN$6:$DN$128)</f>
        <v>593465994</v>
      </c>
      <c r="DO133" s="165">
        <f>SUMIF($E$6:$E$128,"111",$DO$6:$DO$128)</f>
        <v>100000000</v>
      </c>
      <c r="DP133" s="165">
        <f>SUMIF($E$6:$E$128,"111",$DP$6:$DP$128)</f>
        <v>664044263</v>
      </c>
      <c r="DQ133" s="168">
        <f>SUMIF($E$6:$E$128,"111",$DQ$6:$DQ$128)</f>
        <v>0</v>
      </c>
      <c r="DR133" s="168">
        <f>SUMIF($E$6:$E$128,"111",$DR$6:$DR$128)</f>
        <v>154630269</v>
      </c>
      <c r="DS133" s="168">
        <f>SUMIF($E$6:$E$128,"111",$DS$6:$DS$128)</f>
        <v>572520934</v>
      </c>
      <c r="DT133" s="168">
        <f>SUMIF($E$6:$E$128,"111",$DT$6:$DT$128)</f>
        <v>290776495</v>
      </c>
      <c r="DU133" s="168">
        <f>SUMIF($E$6:$E$128,"111",$DU$6:$DU$128)</f>
        <v>0</v>
      </c>
      <c r="DV133" s="168">
        <f>SUMIF($E$6:$E$128,"111",$DV$6:$DV$128)</f>
        <v>0</v>
      </c>
      <c r="DW133" s="168">
        <f>SUMIF($E$6:$E$128,"111",$DW$6:$DW$128)</f>
        <v>390978551</v>
      </c>
      <c r="DX133" s="168">
        <f>SUMIF($E$6:$E$128,"111",$DX$6:$DX$128)</f>
        <v>0</v>
      </c>
      <c r="DY133" s="168">
        <f>SUMIF($E$6:$E$128,"111",$DY$6:$DY$128)</f>
        <v>0</v>
      </c>
      <c r="DZ133" s="168">
        <f>SUMIF($E$6:$E$128,"111",$DZ$6:$DZ$128)</f>
        <v>0</v>
      </c>
      <c r="EA133" s="168">
        <f>SUMIF($E$6:$E$128,"111",$EA$6:$EA$128)</f>
        <v>77846638</v>
      </c>
      <c r="EB133" s="168">
        <f>SUMIF($E$6:$E$128,"111",$EB$6:$EB$128)</f>
        <v>87612396</v>
      </c>
    </row>
    <row r="134" spans="1:132" ht="18" customHeight="1" x14ac:dyDescent="0.25">
      <c r="C134" s="169"/>
      <c r="D134" s="160" t="s">
        <v>370</v>
      </c>
      <c r="E134" s="153">
        <v>211</v>
      </c>
      <c r="F134" s="161"/>
      <c r="G134" s="162">
        <f ca="1">SUMIF($E$6:$G$129,"211",$G$6:$J$128)</f>
        <v>10487526512</v>
      </c>
      <c r="H134" s="163">
        <f ca="1">SUMIF($E$6:$H$129,"211",$H$6:$J$128)</f>
        <v>10099500000</v>
      </c>
      <c r="I134" s="163">
        <f ca="1">SUMIF($E$6:$I$129,"211",$I$6:$J$128)</f>
        <v>-388026512</v>
      </c>
      <c r="J134" s="162">
        <f>SUMIF($E$6:$E$129,"211",$J$6:$J$129)</f>
        <v>863411047</v>
      </c>
      <c r="K134" s="162">
        <f>SUMIF($E$6:$E$129,"211",$K$6:$K$129)</f>
        <v>791568417</v>
      </c>
      <c r="L134" s="162">
        <f>SUMIF($E$6:$E$129,"211",$L$6:$L$129)</f>
        <v>0</v>
      </c>
      <c r="M134" s="162">
        <f>SUMIF($E$6:$E$129,"211",$M$6:$M$129)</f>
        <v>4719708745</v>
      </c>
      <c r="N134" s="164">
        <f>SUMIF($E$6:$E$128,"211",$N$6:$N$128)</f>
        <v>0</v>
      </c>
      <c r="O134" s="161">
        <f>SUMIF($E$6:$E$128,"211",$O$6:$O$128)</f>
        <v>0</v>
      </c>
      <c r="P134" s="161">
        <f>SUMIF($E$6:$E$128,"211",$P$6:$P$128)</f>
        <v>212423035</v>
      </c>
      <c r="Q134" s="161">
        <f>SUMIF($E$6:$E$128,"211",$Q$6:$Q$128)</f>
        <v>150000000</v>
      </c>
      <c r="R134" s="161">
        <f>SUMIF($E$6:$E$128,"211",$R$6:$R$128)</f>
        <v>0</v>
      </c>
      <c r="S134" s="161">
        <f>SUMIF($E$6:$E$128,"211",$S$6:$S$128)</f>
        <v>346546789</v>
      </c>
      <c r="T134" s="161">
        <f>SUMIF($E$6:$E$128,"211",$T$6:$T$128)</f>
        <v>70000000</v>
      </c>
      <c r="U134" s="161">
        <f>SUMIF($E$6:$E$128,"211",$U$6:$U$128)</f>
        <v>620266250</v>
      </c>
      <c r="V134" s="161">
        <f>SUMIF($E$6:$E$128,"211",$V$6:$V$128)</f>
        <v>47237313</v>
      </c>
      <c r="W134" s="161">
        <f>SUMIF($E$6:$E$128,"211",$W$6:$W$128)</f>
        <v>76223671</v>
      </c>
      <c r="X134" s="161">
        <f>SUMIF($E$6:$E$128,"211",$X$6:$X$128)</f>
        <v>40997954</v>
      </c>
      <c r="Y134" s="161">
        <f>SUMIF($E$6:$E$128,"211",$Y$6:$Y$128)</f>
        <v>0</v>
      </c>
      <c r="Z134" s="161">
        <f>SUMIF($E$6:$E$128,"211",$Z$6:$Z$128)</f>
        <v>0</v>
      </c>
      <c r="AA134" s="161">
        <f>SUMIF($E$6:$E$128,"211",$AA$6:$AA$128)</f>
        <v>1288177577</v>
      </c>
      <c r="AB134" s="161">
        <f>SUMIF($E$6:$E$128,"211",$AB$6:$AB$128)</f>
        <v>90000000</v>
      </c>
      <c r="AC134" s="161">
        <f>SUMIF($E$6:$E$128,"211",$AC$6:$AC$128)</f>
        <v>124281898</v>
      </c>
      <c r="AD134" s="161"/>
      <c r="AE134" s="161">
        <f>SUMIF($E$6:$E$128,"211",$AE$6:$AE$128)</f>
        <v>46954549</v>
      </c>
      <c r="AF134" s="161">
        <f>SUMIF($E$6:$E$128,"211",$AF$6:$AF$128)</f>
        <v>999729267</v>
      </c>
      <c r="AG134" s="46">
        <f t="shared" ca="1" si="100"/>
        <v>0.46788112996762643</v>
      </c>
      <c r="AH134" s="164">
        <f>SUMIF($E$6:$E$128,"211",$AH$6:$AH$128)</f>
        <v>4906915755</v>
      </c>
      <c r="AI134" s="164">
        <f>SUMIF($E$6:$E$128,"211",$AI$6:$AI$128)</f>
        <v>310580287</v>
      </c>
      <c r="AJ134" s="164">
        <f>SUMIF($E$6:$E$128,"211",$AJ$6:$AJ$128)</f>
        <v>593121353</v>
      </c>
      <c r="AK134" s="164">
        <f>SUMIF($E$6:$E$128,"211",$AK$6:$AK$128)</f>
        <v>0</v>
      </c>
      <c r="AL134" s="164">
        <f>SUMIF($E$6:$E$128,"211",$AL$6:$AL$128)</f>
        <v>1746665190</v>
      </c>
      <c r="AM134" s="164">
        <f>SUMIF($E$6:$E$128,"211",$AM$6:$AM$128)</f>
        <v>0</v>
      </c>
      <c r="AN134" s="164">
        <f>SUMIF($E$6:$E$128,"211",$AN$6:$AN$128)</f>
        <v>0</v>
      </c>
      <c r="AO134" s="164">
        <f>SUMIF($E$6:$E$128,"211",$AO$6:$AO$128)</f>
        <v>100000000</v>
      </c>
      <c r="AP134" s="164">
        <f>SUMIF($E$6:$E$128,"211",$AP$6:$AP$128)</f>
        <v>0</v>
      </c>
      <c r="AQ134" s="164">
        <f>SUMIF($E$6:$E$128,"211",$AQ$6:$AQ$128)</f>
        <v>0</v>
      </c>
      <c r="AR134" s="164">
        <f>SUMIF($E$6:$E$128,"211",$AR$6:$AR$128)</f>
        <v>50000000</v>
      </c>
      <c r="AS134" s="164">
        <f>SUMIF($E$6:$E$128,"211",$AS$6:$AS$128)</f>
        <v>0</v>
      </c>
      <c r="AT134" s="164">
        <f>SUMIF($E$6:$E$128,"211",$AT$6:$AT$128)</f>
        <v>324980000</v>
      </c>
      <c r="AU134" s="164">
        <f>SUMIF($E$6:$E$128,"211",$AU$6:$AU$128)</f>
        <v>47237313</v>
      </c>
      <c r="AV134" s="164">
        <f>SUMIF($E$6:$E$128,"211",$AV$6:$AV$128)</f>
        <v>0</v>
      </c>
      <c r="AW134" s="164">
        <f>SUMIF($E$6:$E$128,"211",$AW$6:$AW$128)</f>
        <v>30000000</v>
      </c>
      <c r="AX134" s="164">
        <f>SUMIF($E$6:$E$128,"211",$AX$6:$AX$128)</f>
        <v>0</v>
      </c>
      <c r="AY134" s="164">
        <f>SUMIF($E$6:$E$128,"211",$AY$6:$AY$128)</f>
        <v>0</v>
      </c>
      <c r="AZ134" s="164">
        <f>SUMIF($E$6:$E$128,"211",$AZ$6:$AZ$128)</f>
        <v>794973409</v>
      </c>
      <c r="BA134" s="164">
        <f>SUMIF($E$6:$E$128,"211",$BA$6:$BA$128)</f>
        <v>90000000</v>
      </c>
      <c r="BB134" s="164">
        <f>SUMIF($E$6:$E$128,"211",$BB$6:$BB$128)</f>
        <v>49963689</v>
      </c>
      <c r="BC134" s="164">
        <f>SUMIF($E$6:$E$128,"211",$BC$6:$BC$128)</f>
        <v>0</v>
      </c>
      <c r="BD134" s="164">
        <f>SUMIF($E$6:$E$128,"211",$BD$6:$BD$128)</f>
        <v>46954549</v>
      </c>
      <c r="BE134" s="164">
        <f>SUMIF($E$6:$E$128,"211",$BE$6:$BE$128)</f>
        <v>722439965</v>
      </c>
      <c r="BF134" s="146">
        <f t="shared" ca="1" si="101"/>
        <v>0.53211887003237357</v>
      </c>
      <c r="BG134" s="49">
        <f t="shared" si="102"/>
        <v>5580610757</v>
      </c>
      <c r="BH134" s="165">
        <f>SUMIF($E$6:$E$128,"211",$BH$6:$BH$128)</f>
        <v>552830760</v>
      </c>
      <c r="BI134" s="165">
        <f>SUMIF($E$6:$E$128,"211",$BI$6:$BI$128)</f>
        <v>198447064</v>
      </c>
      <c r="BJ134" s="165">
        <f>SUMIF($E$6:$E$128,"211",$BJ$6:$BJ$128)</f>
        <v>0</v>
      </c>
      <c r="BK134" s="165">
        <f>SUMIF($E$6:$E$128,"211",$BK$6:$BK$128)</f>
        <v>2973043555</v>
      </c>
      <c r="BL134" s="165">
        <f>SUMIF($E$6:$E$128,"211",$BL$6:$BL$128)</f>
        <v>0</v>
      </c>
      <c r="BM134" s="165">
        <f>SUMIF($E$6:$E$128,"211",$BM$6:$BM$128)</f>
        <v>0</v>
      </c>
      <c r="BN134" s="165">
        <f>SUMIF($E$6:$E$128,"211",$BN$6:$BN$128)</f>
        <v>112423035</v>
      </c>
      <c r="BO134" s="165">
        <f>SUMIF($E$6:$E$128,"211",$BO$6:$BO$128)</f>
        <v>150000000</v>
      </c>
      <c r="BP134" s="165">
        <f>SUMIF($E$6:$E$128,"211",$BP$6:$BP$128)</f>
        <v>0</v>
      </c>
      <c r="BQ134" s="165">
        <f>SUMIF($E$6:$E$128,"211",$BQ$6:$BQ$128)</f>
        <v>296546789</v>
      </c>
      <c r="BR134" s="165">
        <f>SUMIF($E$6:$E$128,"211",$BR$6:$BR$128)</f>
        <v>70000000</v>
      </c>
      <c r="BS134" s="165">
        <f>SUMIF($E$6:$E$128,"211",$BS$6:$BS$128)</f>
        <v>295286250</v>
      </c>
      <c r="BT134" s="165">
        <f>SUMIF($E$6:$E$128,"211",$BT$6:$BT$128)</f>
        <v>0</v>
      </c>
      <c r="BU134" s="165">
        <f>SUMIF($E$6:$E$128,"211",$BU$6:$BU$128)</f>
        <v>76223671</v>
      </c>
      <c r="BV134" s="165">
        <f>SUMIF($E$6:$E$128,"211",$BV$6:$BV$128)</f>
        <v>10997954</v>
      </c>
      <c r="BW134" s="165">
        <f>SUMIF($E$6:$E$128,"211",$BW$6:$BW$128)</f>
        <v>0</v>
      </c>
      <c r="BX134" s="165">
        <f>SUMIF($E$6:$E$128,"211",$BX$6:$BX$128)</f>
        <v>0</v>
      </c>
      <c r="BY134" s="165">
        <f>SUMIF($E$6:$E$128,"211",$BY$6:$BY$128)</f>
        <v>493204168</v>
      </c>
      <c r="BZ134" s="165">
        <f>SUMIF($E$6:$E$128,"211",$BZ$6:$BZ$128)</f>
        <v>0</v>
      </c>
      <c r="CA134" s="165">
        <f>SUMIF($E$6:$E$128,"211",$CA$6:$CA$128)</f>
        <v>74318209</v>
      </c>
      <c r="CB134" s="165">
        <f>SUMIF($E$6:$E$128,"211",$CB$6:$CB$128)</f>
        <v>0</v>
      </c>
      <c r="CC134" s="165">
        <f>SUMIF($E$6:$E$128,"211",$CC$6:$CC$128)</f>
        <v>0</v>
      </c>
      <c r="CD134" s="166">
        <f>SUMIF($E$6:$E$128,"211",$CD$6:$CD$128)</f>
        <v>277289302</v>
      </c>
      <c r="CE134" s="46">
        <f t="shared" ca="1" si="103"/>
        <v>0.20409341941122905</v>
      </c>
      <c r="CF134" s="78">
        <f t="shared" si="104"/>
        <v>2140435147</v>
      </c>
      <c r="CG134" s="164">
        <f>SUMIF($E$6:$E$128,"211",$CG$6:$CG$128)</f>
        <v>0</v>
      </c>
      <c r="CH134" s="164">
        <f>SUMIF($E$6:$E$128,"211",$CH$6:$CH$128)</f>
        <v>446957380</v>
      </c>
      <c r="CI134" s="164">
        <f>SUMIF($E$6:$E$128,"211",$CI$6:$CI$128)</f>
        <v>0</v>
      </c>
      <c r="CJ134" s="164">
        <f>SUMIF($E$6:$E$128,"211",$CJ$6:$CJ$128)</f>
        <v>145850776</v>
      </c>
      <c r="CK134" s="164">
        <f>SUMIF($E$6:$E$128,"211",$CK$6:$CK$128)</f>
        <v>0</v>
      </c>
      <c r="CL134" s="164">
        <f>SUMIF($E$6:$E$128,"211",$CL$6:$CL$128)</f>
        <v>0</v>
      </c>
      <c r="CM134" s="164">
        <f>SUMIF($E$6:$E$128,"211",$CM$6:$CM$128)</f>
        <v>100000000</v>
      </c>
      <c r="CN134" s="164">
        <f>SUMIF($E$6:$E$128,"211",$CN$6:$CN$128)</f>
        <v>0</v>
      </c>
      <c r="CO134" s="164">
        <f>SUMIF($E$6:$E$128,"211",$CO$6:$CO$128)</f>
        <v>0</v>
      </c>
      <c r="CP134" s="164">
        <f>SUMIF($E$6:$E$128,"211",$CP$6:$CP$128)</f>
        <v>0</v>
      </c>
      <c r="CQ134" s="164">
        <f>SUMIF($E$6:$E$128,"211",$CQ$6:$CQ$128)</f>
        <v>0</v>
      </c>
      <c r="CR134" s="164">
        <f>SUMIF($E$6:$E$128,"211",$CR$6:$CR$128)</f>
        <v>324980000</v>
      </c>
      <c r="CS134" s="164">
        <f>SUMIF($E$6:$E$128,"211",$CS$6:$CS$128)</f>
        <v>0</v>
      </c>
      <c r="CT134" s="164">
        <f>SUMIF($E$6:$E$128,"211",$CT$6:$CT$128)</f>
        <v>0</v>
      </c>
      <c r="CU134" s="164">
        <f>SUMIF($E$6:$E$128,"211",$CU$6:$CU$128)</f>
        <v>0</v>
      </c>
      <c r="CV134" s="164">
        <f>SUMIF($E$6:$E$128,"211",$CV$6:$CV$128)</f>
        <v>0</v>
      </c>
      <c r="CW134" s="164">
        <f>SUMIF($E$6:$E$128,"211",$CW$6:$CW$128)</f>
        <v>0</v>
      </c>
      <c r="CX134" s="164">
        <f>SUMIF($E$6:$E$128,"211",$CX$6:$CX$128)</f>
        <v>710418850</v>
      </c>
      <c r="CY134" s="164">
        <f>SUMIF($E$6:$E$128,"211",$CY$6:$CY$128)</f>
        <v>82861933</v>
      </c>
      <c r="CZ134" s="164">
        <f>SUMIF($E$6:$E$128,"211",$CZ$6:$CZ$128)</f>
        <v>0</v>
      </c>
      <c r="DA134" s="164">
        <f>SUMIF($E$6:$E$128,"211",$DA$6:$DA$128)</f>
        <v>0</v>
      </c>
      <c r="DB134" s="164">
        <f>SUMIF($E$6:$E$128,"211",$DB$6:$DB$128)</f>
        <v>44817066</v>
      </c>
      <c r="DC134" s="167">
        <f>SUMIF($E$6:$E$128,"211",$DC$6:$DC$128)</f>
        <v>284549142</v>
      </c>
      <c r="DD134" s="46">
        <f t="shared" ca="1" si="105"/>
        <v>0.79590658058877095</v>
      </c>
      <c r="DE134" s="49">
        <f t="shared" ca="1" si="106"/>
        <v>8347091365</v>
      </c>
      <c r="DF134" s="165">
        <f ca="1">SUMIF($E$6:$E$129,"211",$DF$6:$DF$128)</f>
        <v>863411047</v>
      </c>
      <c r="DG134" s="165">
        <f>SUMIF($E$6:$E$128,"211",$DG$6:$DG$128)</f>
        <v>344611037</v>
      </c>
      <c r="DH134" s="165">
        <f>SUMIF($E$6:$E$128,"211",$DH$6:$DH$128)</f>
        <v>0</v>
      </c>
      <c r="DI134" s="165">
        <f>SUMIF($E$6:$E$128,"211",$DI$6:$DI$128)</f>
        <v>4573857969</v>
      </c>
      <c r="DJ134" s="165">
        <f>SUMIF($E$6:$E$128,"211",$DJ$6:$DJ$128)</f>
        <v>0</v>
      </c>
      <c r="DK134" s="165">
        <f>SUMIF($E$6:$E$128,"211",$DK$6:$DK$128)</f>
        <v>0</v>
      </c>
      <c r="DL134" s="165">
        <f>SUMIF($E$6:$E$128,"211",$DL$6:$DL$128)</f>
        <v>112423035</v>
      </c>
      <c r="DM134" s="165">
        <f>SUMIF($E$6:$E$128,"211",$DM$6:$DM$128)</f>
        <v>150000000</v>
      </c>
      <c r="DN134" s="165">
        <f>SUMIF($E$6:$E$128,"211",$DN$6:$DN$128)</f>
        <v>0</v>
      </c>
      <c r="DO134" s="165">
        <f>SUMIF($E$6:$E$128,"211",$DO$6:$DO$128)</f>
        <v>346546789</v>
      </c>
      <c r="DP134" s="168">
        <f>SUMIF($E$6:$E$128,"211",$DP$6:$DP$128)</f>
        <v>70000000</v>
      </c>
      <c r="DQ134" s="168">
        <f>SUMIF($E$6:$E$128,"211",$DQ$6:$DQ$128)</f>
        <v>295286250</v>
      </c>
      <c r="DR134" s="168">
        <f>SUMIF($E$6:$E$128,"211",$DR$6:$DR$128)</f>
        <v>47237313</v>
      </c>
      <c r="DS134" s="168">
        <f>SUMIF($E$6:$E$128,"211",$DS$6:$DS$128)</f>
        <v>76223671</v>
      </c>
      <c r="DT134" s="168">
        <f>SUMIF($E$6:$E$128,"211",$DT$6:$DT$128)</f>
        <v>40997954</v>
      </c>
      <c r="DU134" s="168">
        <f>SUMIF($E$6:$E$128,"211",$DU$6:$DU$128)</f>
        <v>0</v>
      </c>
      <c r="DV134" s="168">
        <f>SUMIF($E$6:$E$128,"211",$DV$6:$DV$128)</f>
        <v>0</v>
      </c>
      <c r="DW134" s="168">
        <f>SUMIF($E$6:$E$128,"211",$DW$6:$DW$128)</f>
        <v>577758727</v>
      </c>
      <c r="DX134" s="168">
        <f>SUMIF($E$6:$E$128,"211",$DX$6:$DX$128)</f>
        <v>7138067</v>
      </c>
      <c r="DY134" s="168">
        <f>SUMIF($E$6:$E$128,"211",$DY$6:$DY$128)</f>
        <v>124281898</v>
      </c>
      <c r="DZ134" s="168">
        <f>SUMIF($E$6:$E$128,"211",$DZ$6:$DZ$128)</f>
        <v>0</v>
      </c>
      <c r="EA134" s="168">
        <f>SUMIF($E$6:$E$128,"211",$EA$6:$EA$128)</f>
        <v>2137483</v>
      </c>
      <c r="EB134" s="168">
        <f>SUMIF($E$6:$E$128,"211",$EB$6:$EB$128)</f>
        <v>715180125</v>
      </c>
    </row>
    <row r="135" spans="1:132" ht="18" customHeight="1" x14ac:dyDescent="0.25">
      <c r="C135" s="169"/>
      <c r="D135" s="160" t="s">
        <v>236</v>
      </c>
      <c r="E135" s="170">
        <v>301</v>
      </c>
      <c r="F135" s="161"/>
      <c r="G135" s="162">
        <f ca="1">SUMIF($E$6:$G$129,"301",$G$6:$J$128)</f>
        <v>4618928674</v>
      </c>
      <c r="H135" s="163">
        <f ca="1">SUMIF($E$6:$H$129,"301",$H$6:$J$128)</f>
        <v>4682573500</v>
      </c>
      <c r="I135" s="163">
        <f ca="1">SUMIF($E$6:$I$129,"301",$I$6:$J$128)</f>
        <v>63644826</v>
      </c>
      <c r="J135" s="162">
        <f>SUMIF($E$6:$E$129,"301",$J$6:$J$129)</f>
        <v>1124229659</v>
      </c>
      <c r="K135" s="162">
        <f>SUMIF($E$6:$E$129,"301",$K$6:$K$129)</f>
        <v>248478958</v>
      </c>
      <c r="L135" s="162">
        <f>SUMIF($E$6:$E$129,"301",$L$6:$L$129)</f>
        <v>24243035</v>
      </c>
      <c r="M135" s="162">
        <f>SUMIF($E$6:$E$129,"301",$M$6:$M$129)</f>
        <v>405520570</v>
      </c>
      <c r="N135" s="164">
        <f>SUMIF($E$6:$E$128,"301",$N$6:$N$128)</f>
        <v>0</v>
      </c>
      <c r="O135" s="161">
        <f>SUMIF($E$6:$E$128,"301",$O$6:$O$128)</f>
        <v>0</v>
      </c>
      <c r="P135" s="161">
        <f>SUMIF($E$6:$E$128,"301",$P$6:$P$128)</f>
        <v>0</v>
      </c>
      <c r="Q135" s="161">
        <f>SUMIF($E$6:$E$128,"301",$Q$6:$Q$128)</f>
        <v>0</v>
      </c>
      <c r="R135" s="161">
        <f>SUMIF($E$6:$E$128,"301",$R$6:$R$128)</f>
        <v>0</v>
      </c>
      <c r="S135" s="161">
        <f>SUMIF($E$6:$E$128,"301",$S$6:$S$128)</f>
        <v>0</v>
      </c>
      <c r="T135" s="161">
        <f>SUMIF($E$6:$E$128,"301",$T$6:$T$128)</f>
        <v>0</v>
      </c>
      <c r="U135" s="161">
        <f>SUMIF($E$6:$E$128,"301",$U$6:$U$128)</f>
        <v>0</v>
      </c>
      <c r="V135" s="161">
        <f>SUMIF($E$6:$E$128,"301",$V$6:$V$128)</f>
        <v>0</v>
      </c>
      <c r="W135" s="161">
        <f>SUMIF($E$6:$E$128,"301",$W$6:$W$128)</f>
        <v>0</v>
      </c>
      <c r="X135" s="161">
        <f>SUMIF($E$6:$E$128,"301",$X$6:$X$128)</f>
        <v>0</v>
      </c>
      <c r="Y135" s="161">
        <f>SUMIF($E$6:$E$128,"301",$Y$6:$Y$128)</f>
        <v>0</v>
      </c>
      <c r="Z135" s="161">
        <f>SUMIF($E$6:$E$128,"301",$Z$6:$Z$128)</f>
        <v>456521042</v>
      </c>
      <c r="AA135" s="161">
        <f>SUMIF($E$6:$E$128,"301",$AA$6:$AA$128)</f>
        <v>549500000</v>
      </c>
      <c r="AB135" s="161">
        <f>SUMIF($E$6:$E$128,"301",$AB$6:$AB$128)</f>
        <v>0</v>
      </c>
      <c r="AC135" s="161">
        <f>SUMIF($E$6:$E$128,"301",$AC$6:$AC$128)</f>
        <v>1729072560</v>
      </c>
      <c r="AD135" s="161"/>
      <c r="AE135" s="161">
        <f>SUMIF($E$6:$E$128,"301",$AE$6:$AE$128)</f>
        <v>0</v>
      </c>
      <c r="AF135" s="161">
        <f>SUMIF($E$6:$E$128,"301",$AF$6:$AF$128)</f>
        <v>81362850</v>
      </c>
      <c r="AG135" s="46">
        <f t="shared" ca="1" si="100"/>
        <v>0.59613135628168823</v>
      </c>
      <c r="AH135" s="164">
        <f>SUMIF($E$6:$E$128,"301",$AH$6:$AH$128)</f>
        <v>2753488215</v>
      </c>
      <c r="AI135" s="164">
        <f>SUMIF($E$6:$E$128,"301",$AI$6:$AI$128)</f>
        <v>470602826</v>
      </c>
      <c r="AJ135" s="164">
        <f>SUMIF($E$6:$E$128,"301",$AJ$6:$AJ$128)</f>
        <v>241138335</v>
      </c>
      <c r="AK135" s="164">
        <f>SUMIF($E$6:$E$128,"301",$AK$6:$AK$128)</f>
        <v>2000000</v>
      </c>
      <c r="AL135" s="164">
        <f>SUMIF($E$6:$E$128,"301",$AL$6:$AL$128)</f>
        <v>191740697</v>
      </c>
      <c r="AM135" s="164">
        <f>SUMIF($E$6:$E$128,"301",$AM$6:$AM$128)</f>
        <v>0</v>
      </c>
      <c r="AN135" s="164">
        <f>SUMIF($E$6:$E$128,"301",$AN$6:$AN$128)</f>
        <v>0</v>
      </c>
      <c r="AO135" s="164">
        <f>SUMIF($E$6:$E$128,"301",$AO$6:$AO$128)</f>
        <v>0</v>
      </c>
      <c r="AP135" s="164">
        <f>SUMIF($E$6:$E$128,"301",$AP$6:$AP$128)</f>
        <v>0</v>
      </c>
      <c r="AQ135" s="164">
        <f>SUMIF($E$6:$E$128,"301",$AQ$6:$AQ$128)</f>
        <v>0</v>
      </c>
      <c r="AR135" s="164">
        <f>SUMIF($E$6:$E$128,"301",$AR$6:$AR$128)</f>
        <v>0</v>
      </c>
      <c r="AS135" s="164">
        <f>SUMIF($E$6:$E$128,"301",$AS$6:$AS$128)</f>
        <v>0</v>
      </c>
      <c r="AT135" s="164">
        <f>SUMIF($E$6:$E$128,"301",$AT$6:$AT$128)</f>
        <v>0</v>
      </c>
      <c r="AU135" s="164">
        <f>SUMIF($E$6:$E$128,"301",$AU$6:$AU$128)</f>
        <v>0</v>
      </c>
      <c r="AV135" s="164">
        <f>SUMIF($E$6:$E$128,"301",$AV$6:$AV$128)</f>
        <v>0</v>
      </c>
      <c r="AW135" s="164">
        <f>SUMIF($E$6:$E$128,"301",$AW$6:$AW$128)</f>
        <v>0</v>
      </c>
      <c r="AX135" s="164">
        <f>SUMIF($E$6:$E$128,"301",$AX$6:$AX$128)</f>
        <v>0</v>
      </c>
      <c r="AY135" s="164">
        <f>SUMIF($E$6:$E$128,"301",$AY$6:$AY$128)</f>
        <v>402845000</v>
      </c>
      <c r="AZ135" s="164">
        <f>SUMIF($E$6:$E$128,"301",$AZ$6:$AZ$128)</f>
        <v>313939058</v>
      </c>
      <c r="BA135" s="164">
        <f>SUMIF($E$6:$E$128,"301",$BA$6:$BA$128)</f>
        <v>0</v>
      </c>
      <c r="BB135" s="164">
        <f>SUMIF($E$6:$E$128,"301",$BB$6:$BB$128)</f>
        <v>1052859449</v>
      </c>
      <c r="BC135" s="164">
        <f>SUMIF($E$6:$E$128,"301",$BC$6:$BC$128)</f>
        <v>0</v>
      </c>
      <c r="BD135" s="164">
        <f>SUMIF($E$6:$E$128,"301",$BD$6:$BD$128)</f>
        <v>0</v>
      </c>
      <c r="BE135" s="164">
        <f>SUMIF($E$6:$E$128,"301",$BE$6:$BE$128)</f>
        <v>78362850</v>
      </c>
      <c r="BF135" s="146">
        <f t="shared" ca="1" si="101"/>
        <v>0.40386864371831177</v>
      </c>
      <c r="BG135" s="49">
        <f t="shared" si="102"/>
        <v>1865440459</v>
      </c>
      <c r="BH135" s="165">
        <f>SUMIF($E$6:$E$128,"301",$BH$6:$BH$128)</f>
        <v>653626833</v>
      </c>
      <c r="BI135" s="165">
        <f>SUMIF($E$6:$E$128,"301",$BI$6:$BI$128)</f>
        <v>7340623</v>
      </c>
      <c r="BJ135" s="165">
        <f>SUMIF($E$6:$E$128,"301",$BJ$6:$BJ$128)</f>
        <v>22243035</v>
      </c>
      <c r="BK135" s="165">
        <f>SUMIF($E$6:$E$128,"301",$BK$6:$BK$128)</f>
        <v>213779873</v>
      </c>
      <c r="BL135" s="165">
        <f>SUMIF($E$6:$E$128,"301",$BL$6:$BL$128)</f>
        <v>0</v>
      </c>
      <c r="BM135" s="165">
        <f>SUMIF($E$6:$E$128,"301",$BM$6:$BM$128)</f>
        <v>0</v>
      </c>
      <c r="BN135" s="165">
        <f>SUMIF($E$6:$E$128,"301",$BN$6:$BN$128)</f>
        <v>0</v>
      </c>
      <c r="BO135" s="165">
        <f>SUMIF($E$6:$E$128,"301",$BO$6:$BO$128)</f>
        <v>0</v>
      </c>
      <c r="BP135" s="165">
        <f>SUMIF($E$6:$E$128,"301",$BP$6:$BP$128)</f>
        <v>0</v>
      </c>
      <c r="BQ135" s="165">
        <f>SUMIF($E$6:$E$128,"301",$BQ$6:$BQ$128)</f>
        <v>0</v>
      </c>
      <c r="BR135" s="165">
        <f>SUMIF($E$6:$E$128,"301",$BR$6:$BR$128)</f>
        <v>0</v>
      </c>
      <c r="BS135" s="165">
        <f>SUMIF($E$6:$E$128,"301",$BS$6:$BS$128)</f>
        <v>0</v>
      </c>
      <c r="BT135" s="165">
        <f>SUMIF($E$6:$E$128,"301",$BT$6:$BT$128)</f>
        <v>0</v>
      </c>
      <c r="BU135" s="165">
        <f>SUMIF($E$6:$E$128,"301",$BU$6:$BU$128)</f>
        <v>0</v>
      </c>
      <c r="BV135" s="165">
        <f>SUMIF($E$6:$E$128,"301",$BV$6:$BV$128)</f>
        <v>0</v>
      </c>
      <c r="BW135" s="165">
        <f>SUMIF($E$6:$E$128,"301",$BW$6:$BW$128)</f>
        <v>0</v>
      </c>
      <c r="BX135" s="165">
        <f>SUMIF($E$6:$E$128,"301",$BX$6:$BX$128)</f>
        <v>53676042</v>
      </c>
      <c r="BY135" s="165">
        <f>SUMIF($E$6:$E$128,"301",$BY$6:$BY$128)</f>
        <v>235560942</v>
      </c>
      <c r="BZ135" s="165">
        <f>SUMIF($E$6:$E$128,"301",$BZ$6:$BZ$128)</f>
        <v>0</v>
      </c>
      <c r="CA135" s="165">
        <f>SUMIF($E$6:$E$128,"301",$CA$6:$CA$128)</f>
        <v>676213111</v>
      </c>
      <c r="CB135" s="165">
        <f>SUMIF($E$6:$E$128,"301",$CB$6:$CB$128)</f>
        <v>0</v>
      </c>
      <c r="CC135" s="165">
        <f>SUMIF($E$6:$E$128,"301",$CC$6:$CC$128)</f>
        <v>0</v>
      </c>
      <c r="CD135" s="166">
        <f>SUMIF($E$6:$E$128,"301",$CD$6:$CD$128)</f>
        <v>3000000</v>
      </c>
      <c r="CE135" s="46">
        <f t="shared" ca="1" si="103"/>
        <v>0.46415093743878844</v>
      </c>
      <c r="CF135" s="78">
        <f t="shared" si="104"/>
        <v>2143880074</v>
      </c>
      <c r="CG135" s="164">
        <f>SUMIF($E$6:$E$128,"301",$CG$6:$CG$128)</f>
        <v>340401333</v>
      </c>
      <c r="CH135" s="164">
        <f>SUMIF($E$6:$E$128,"301",$CH$6:$CH$128)</f>
        <v>240679663</v>
      </c>
      <c r="CI135" s="164">
        <f>SUMIF($E$6:$E$128,"301",$CI$6:$CI$128)</f>
        <v>2000000</v>
      </c>
      <c r="CJ135" s="164">
        <f>SUMIF($E$6:$E$128,"301",$CJ$6:$CJ$128)</f>
        <v>152485132</v>
      </c>
      <c r="CK135" s="164">
        <f>SUMIF($E$6:$E$128,"301",$CK$6:$CK$128)</f>
        <v>0</v>
      </c>
      <c r="CL135" s="164">
        <f>SUMIF($E$6:$E$128,"301",$CL$6:$CL$128)</f>
        <v>0</v>
      </c>
      <c r="CM135" s="164">
        <f>SUMIF($E$6:$E$128,"301",$CM$6:$CM$128)</f>
        <v>0</v>
      </c>
      <c r="CN135" s="164">
        <f>SUMIF($E$6:$E$128,"301",$CN$6:$CN$128)</f>
        <v>0</v>
      </c>
      <c r="CO135" s="164">
        <f>SUMIF($E$6:$E$128,"301",$CO$6:$CO$128)</f>
        <v>0</v>
      </c>
      <c r="CP135" s="164">
        <f>SUMIF($E$6:$E$128,"301",$CP$6:$CP$128)</f>
        <v>0</v>
      </c>
      <c r="CQ135" s="164">
        <f>SUMIF($E$6:$E$128,"301",$CQ$6:$CQ$128)</f>
        <v>0</v>
      </c>
      <c r="CR135" s="164">
        <f>SUMIF($E$6:$E$128,"301",$CR$6:$CR$128)</f>
        <v>0</v>
      </c>
      <c r="CS135" s="164">
        <f>SUMIF($E$6:$E$128,"301",$CS$6:$CS$128)</f>
        <v>0</v>
      </c>
      <c r="CT135" s="164">
        <f>SUMIF($E$6:$E$128,"301",$CT$6:$CT$128)</f>
        <v>0</v>
      </c>
      <c r="CU135" s="164">
        <f>SUMIF($E$6:$E$128,"301",$CU$6:$CU$128)</f>
        <v>0</v>
      </c>
      <c r="CV135" s="164">
        <f>SUMIF($E$6:$E$128,"301",$CV$6:$CV$128)</f>
        <v>0</v>
      </c>
      <c r="CW135" s="164">
        <f>SUMIF($E$6:$E$128,"301",$CW$6:$CW$128)</f>
        <v>372027329</v>
      </c>
      <c r="CX135" s="164">
        <f>SUMIF($E$6:$E$128,"301",$CX$6:$CX$128)</f>
        <v>139093830</v>
      </c>
      <c r="CY135" s="164">
        <f>SUMIF($E$6:$E$128,"301",$CY$6:$CY$128)</f>
        <v>0</v>
      </c>
      <c r="CZ135" s="164">
        <f>SUMIF($E$6:$E$128,"301",$CZ$6:$CZ$128)</f>
        <v>829578631</v>
      </c>
      <c r="DA135" s="164">
        <f>SUMIF($E$6:$E$128,"301",$DA$6:$DA$128)</f>
        <v>0</v>
      </c>
      <c r="DB135" s="164">
        <f>SUMIF($E$6:$E$128,"301",$DB$6:$DB$128)</f>
        <v>0</v>
      </c>
      <c r="DC135" s="167">
        <f>SUMIF($E$6:$E$128,"301",$DC$6:$DC$128)</f>
        <v>67614156</v>
      </c>
      <c r="DD135" s="46">
        <f t="shared" ca="1" si="105"/>
        <v>0.53584906256121156</v>
      </c>
      <c r="DE135" s="49">
        <f t="shared" ca="1" si="106"/>
        <v>2475048600</v>
      </c>
      <c r="DF135" s="165">
        <f ca="1">SUMIF($E$6:$E$129,"301",$DF$6:$DF$128)</f>
        <v>783828326</v>
      </c>
      <c r="DG135" s="165">
        <f>SUMIF($E$6:$E$128,"301",$DG$6:$DG$128)</f>
        <v>7799295</v>
      </c>
      <c r="DH135" s="165">
        <f>SUMIF($E$6:$E$128,"301",$DH$6:$DH$128)</f>
        <v>22243035</v>
      </c>
      <c r="DI135" s="165">
        <f>SUMIF($E$6:$E$128,"301",$DI$6:$DI$128)</f>
        <v>253035438</v>
      </c>
      <c r="DJ135" s="165">
        <f>SUMIF($E$6:$E$128,"301",$DJ$6:$DJ$128)</f>
        <v>0</v>
      </c>
      <c r="DK135" s="165">
        <f>SUMIF($E$6:$E$128,"301",$DK$6:$DK$128)</f>
        <v>0</v>
      </c>
      <c r="DL135" s="165">
        <f>SUMIF($E$6:$E$128,"301",$DL$6:$DL$128)</f>
        <v>0</v>
      </c>
      <c r="DM135" s="165">
        <f>SUMIF($E$6:$E$128,"301",$DM$6:$DM$128)</f>
        <v>0</v>
      </c>
      <c r="DN135" s="165">
        <f>SUMIF($E$6:$E$128,"301",$DN$6:$DN$128)</f>
        <v>0</v>
      </c>
      <c r="DO135" s="165">
        <f>SUMIF($E$6:$E$128,"301",$DO$6:$DO$128)</f>
        <v>0</v>
      </c>
      <c r="DP135" s="168">
        <f>SUMIF($E$6:$E$128,"301",$DP$6:$DP$128)</f>
        <v>0</v>
      </c>
      <c r="DQ135" s="168">
        <f>SUMIF($E$6:$E$128,"301",$DQ$6:$DQ$128)</f>
        <v>0</v>
      </c>
      <c r="DR135" s="168">
        <f>SUMIF($E$6:$E$128,"301",$DR$6:$DR$128)</f>
        <v>0</v>
      </c>
      <c r="DS135" s="168">
        <f>SUMIF($E$6:$E$128,"301",$DS$6:$DS$128)</f>
        <v>0</v>
      </c>
      <c r="DT135" s="168">
        <f>SUMIF($E$6:$E$128,"301",$DT$6:$DT$128)</f>
        <v>0</v>
      </c>
      <c r="DU135" s="168">
        <f>SUMIF($E$6:$E$128,"301",$DU$6:$DU$128)</f>
        <v>0</v>
      </c>
      <c r="DV135" s="168">
        <f>SUMIF($E$6:$E$128,"301",$DV$6:$DV$128)</f>
        <v>84493713</v>
      </c>
      <c r="DW135" s="168">
        <f>SUMIF($E$6:$E$128,"301",$DW$6:$DW$128)</f>
        <v>410406170</v>
      </c>
      <c r="DX135" s="168">
        <f>SUMIF($E$6:$E$128,"301",$DX$6:$DX$128)</f>
        <v>0</v>
      </c>
      <c r="DY135" s="168">
        <f>SUMIF($E$6:$E$128,"301",$DY$6:$DY$128)</f>
        <v>899493929</v>
      </c>
      <c r="DZ135" s="168">
        <f>SUMIF($E$6:$E$128,"301",$DZ$6:$DZ$128)</f>
        <v>0</v>
      </c>
      <c r="EA135" s="168">
        <f>SUMIF($E$6:$E$128,"301",$EA$6:$EA$128)</f>
        <v>0</v>
      </c>
      <c r="EB135" s="168">
        <f>SUMIF($E$6:$E$128,"301",$EB$6:$EB$128)</f>
        <v>13748694</v>
      </c>
    </row>
    <row r="136" spans="1:132" ht="16.5" customHeight="1" x14ac:dyDescent="0.25">
      <c r="C136" s="169"/>
      <c r="D136" s="160" t="s">
        <v>371</v>
      </c>
      <c r="E136" s="153">
        <v>310</v>
      </c>
      <c r="F136" s="161"/>
      <c r="G136" s="162">
        <f ca="1">SUMIF($E$6:$G$129,"310",$G$6:$J$128)</f>
        <v>1420900967</v>
      </c>
      <c r="H136" s="163">
        <f ca="1">SUMIF($E$6:$H$129,"310",$H$6:$J$128)</f>
        <v>2402277636</v>
      </c>
      <c r="I136" s="163">
        <f ca="1">SUMIF($E$6:$I$129,"310",$I$6:$J$128)</f>
        <v>981376669</v>
      </c>
      <c r="J136" s="162">
        <f>SUMIF($E$6:$E$128,"310",$J$6:$J$128)</f>
        <v>0</v>
      </c>
      <c r="K136" s="162">
        <f>SUMIF($E$6:$E$128,"310",$K$6:$K$128)</f>
        <v>399183902</v>
      </c>
      <c r="L136" s="162">
        <f>SUMIF($E$6:$E$129,"310",$L$6:$L$129)</f>
        <v>0</v>
      </c>
      <c r="M136" s="162">
        <f>SUMIF($E$6:$E$129,"310",$M$6:$M$129)</f>
        <v>478050814</v>
      </c>
      <c r="N136" s="164">
        <f>SUMIF($E$6:$E$128,"310",$N$6:$N$128)</f>
        <v>0</v>
      </c>
      <c r="O136" s="161">
        <f>SUMIF($E$6:$E$128,"310",$O$6:$O$128)</f>
        <v>0</v>
      </c>
      <c r="P136" s="161">
        <f>SUMIF($E$6:$E$128,"310",$P$6:$P$128)</f>
        <v>0</v>
      </c>
      <c r="Q136" s="161">
        <f>SUMIF($E$6:$E$128,"310",$Q$6:$Q$128)</f>
        <v>0</v>
      </c>
      <c r="R136" s="161">
        <f>SUMIF($E$6:$E$128,"310",$R$6:$R$128)</f>
        <v>0</v>
      </c>
      <c r="S136" s="161">
        <f>SUMIF($E$6:$E$128,"310",$S$6:$S$128)</f>
        <v>0</v>
      </c>
      <c r="T136" s="161">
        <f>SUMIF($E$6:$E$128,"310",$T$6:$T$128)</f>
        <v>0</v>
      </c>
      <c r="U136" s="161">
        <f>SUMIF($E$6:$E$128,"310",$U$6:$U$128)</f>
        <v>22935191</v>
      </c>
      <c r="V136" s="161">
        <f>SUMIF($E$6:$E$128,"310",$V$6:$V$128)</f>
        <v>0</v>
      </c>
      <c r="W136" s="161">
        <f>SUMIF($E$6:$E$128,"310",$W$6:$W$128)</f>
        <v>0</v>
      </c>
      <c r="X136" s="161">
        <f>SUMIF($E$6:$E$128,"310",$X$6:$X$128)</f>
        <v>0</v>
      </c>
      <c r="Y136" s="161">
        <f>SUMIF($E$6:$E$128,"310",$Y$6:$Y$128)</f>
        <v>0</v>
      </c>
      <c r="Z136" s="161">
        <f>SUMIF($E$6:$E$128,"310",$Z$6:$Z$128)</f>
        <v>432000000</v>
      </c>
      <c r="AA136" s="161">
        <f>SUMIF($E$6:$E$128,"310",$AA$6:$AA$128)</f>
        <v>0</v>
      </c>
      <c r="AB136" s="161">
        <f>SUMIF($E$6:$E$128,"310",$AB$6:$AB$128)</f>
        <v>0</v>
      </c>
      <c r="AC136" s="161">
        <f>SUMIF($E$6:$E$105,"310",$AC$6:$AC$105)</f>
        <v>0</v>
      </c>
      <c r="AD136" s="161"/>
      <c r="AE136" s="161">
        <f>SUMIF($E$6:$E$128,"310",$AE$6:$AE$128)</f>
        <v>0</v>
      </c>
      <c r="AF136" s="161">
        <f>SUMIF($E$6:$E$128,"310",$AF$6:$AF$128)</f>
        <v>88731060</v>
      </c>
      <c r="AG136" s="46">
        <f t="shared" ca="1" si="100"/>
        <v>0.91449984423861685</v>
      </c>
      <c r="AH136" s="164">
        <f>SUMIF($E$6:$E$128,"310",$AH$6:$AH$128)</f>
        <v>1299413713</v>
      </c>
      <c r="AI136" s="164">
        <f>SUMIF($E$6:$E$128,"310",$AI$6:$AI$128)</f>
        <v>0</v>
      </c>
      <c r="AJ136" s="164">
        <f>SUMIF($E$6:$E$128,"310",$AJ$6:$AJ$128)</f>
        <v>370117235</v>
      </c>
      <c r="AK136" s="164">
        <f>SUMIF($E$6:$E$128,"310",$AK$6:$AK$128)</f>
        <v>0</v>
      </c>
      <c r="AL136" s="164">
        <f>SUMIF($E$6:$E$128,"310",$AL$6:$AL$128)</f>
        <v>478050814</v>
      </c>
      <c r="AM136" s="164">
        <f>SUMIF($E$6:$E$128,"310",$AM$6:$AM$128)</f>
        <v>0</v>
      </c>
      <c r="AN136" s="164">
        <f>SUMIF($E$6:$E$128,"310",$AN$6:$AN$128)</f>
        <v>0</v>
      </c>
      <c r="AO136" s="164">
        <f>SUMIF($E$6:$E$128,"310",$AO$6:$AO$128)</f>
        <v>0</v>
      </c>
      <c r="AP136" s="164">
        <f>SUMIF($E$6:$E$128,"310",$AP$6:$AP$128)</f>
        <v>0</v>
      </c>
      <c r="AQ136" s="164">
        <f>SUMIF($E$6:$E$128,"310",$AQ$6:$AQ$128)</f>
        <v>0</v>
      </c>
      <c r="AR136" s="164">
        <f>SUMIF($E$6:$E$128,"310",$AR$6:$AR$128)</f>
        <v>0</v>
      </c>
      <c r="AS136" s="164">
        <f>SUMIF($E$6:$E$128,"310",$AS$6:$AS$128)</f>
        <v>0</v>
      </c>
      <c r="AT136" s="164">
        <f>SUMIF($E$6:$E$128,"310",$AT$6:$AT$128)</f>
        <v>21358604</v>
      </c>
      <c r="AU136" s="164">
        <f>SUMIF($E$6:$E$128,"310",$AU$6:$AU$128)</f>
        <v>0</v>
      </c>
      <c r="AV136" s="164">
        <f>SUMIF($E$6:$E$128,"310",$AV$6:$AV$128)</f>
        <v>0</v>
      </c>
      <c r="AW136" s="164">
        <f>SUMIF($E$6:$E$128,"310",$AW$6:$AW$128)</f>
        <v>0</v>
      </c>
      <c r="AX136" s="164">
        <f>SUMIF($E$6:$E$128,"310",$AX$6:$AX$128)</f>
        <v>0</v>
      </c>
      <c r="AY136" s="164">
        <f>SUMIF($E$6:$E$128,"310",$AY$6:$AY$128)</f>
        <v>372000000</v>
      </c>
      <c r="AZ136" s="164">
        <f>SUMIF($E$6:$E$128,"310",$AZ$6:$AZ$128)</f>
        <v>0</v>
      </c>
      <c r="BA136" s="164">
        <f>SUMIF($E$6:$E$128,"310",$BA$6:$BA$128)</f>
        <v>0</v>
      </c>
      <c r="BB136" s="164">
        <f>SUMIF($E$6:$E$128,"310",$BB$6:$BB$128)</f>
        <v>0</v>
      </c>
      <c r="BC136" s="164">
        <f>SUMIF($E$6:$E$128,"310",$BC$6:$BC$128)</f>
        <v>0</v>
      </c>
      <c r="BD136" s="164">
        <f>SUMIF($E$6:$E$128,"310",$BD$6:$BD$128)</f>
        <v>0</v>
      </c>
      <c r="BE136" s="164">
        <f>SUMIF($E$6:$E$128,"310",$BE$6:$BE$128)</f>
        <v>57887060</v>
      </c>
      <c r="BF136" s="146">
        <f t="shared" ca="1" si="101"/>
        <v>8.5500155761383145E-2</v>
      </c>
      <c r="BG136" s="49">
        <f t="shared" si="102"/>
        <v>121487254</v>
      </c>
      <c r="BH136" s="165">
        <f>SUMIF($E$6:$E$128,"310",$BH$6:$BH$128)</f>
        <v>0</v>
      </c>
      <c r="BI136" s="165">
        <f>SUMIF($E$6:$E$128,"310",$BI$6:$BI$128)</f>
        <v>29066667</v>
      </c>
      <c r="BJ136" s="165">
        <f>SUMIF($E$6:$E$128,"310",$BJ$6:$BJ$128)</f>
        <v>0</v>
      </c>
      <c r="BK136" s="165">
        <f>SUMIF($E$6:$E$128,"310",$BK$6:$BK$128)</f>
        <v>0</v>
      </c>
      <c r="BL136" s="165">
        <f>SUMIF($E$6:$E$128,"310",$BL$6:$BL$128)</f>
        <v>0</v>
      </c>
      <c r="BM136" s="165">
        <f>SUMIF($E$6:$E$128,"310",$BM$6:$BM$128)</f>
        <v>0</v>
      </c>
      <c r="BN136" s="165">
        <f>SUMIF($E$6:$E$128,"310",$BN$6:$BN$128)</f>
        <v>0</v>
      </c>
      <c r="BO136" s="165">
        <f>SUMIF($E$6:$E$128,"310",$BO$6:$BO$128)</f>
        <v>0</v>
      </c>
      <c r="BP136" s="165">
        <f>SUMIF($E$6:$E$128,"310",$BP$6:$BP$128)</f>
        <v>0</v>
      </c>
      <c r="BQ136" s="165">
        <f>SUMIF($E$6:$E$128,"310",$BQ$6:$BQ$128)</f>
        <v>0</v>
      </c>
      <c r="BR136" s="165">
        <f>SUMIF($E$6:$E$128,"310",$BR$6:$BR$128)</f>
        <v>0</v>
      </c>
      <c r="BS136" s="165">
        <f>SUMIF($E$6:$E$128,"310",$BS$6:$BS$128)</f>
        <v>1576587</v>
      </c>
      <c r="BT136" s="165">
        <f>SUMIF($E$6:$E$128,"310",$BT$6:$BT$128)</f>
        <v>0</v>
      </c>
      <c r="BU136" s="165">
        <f>SUMIF($E$6:$E$128,"310",$BU$6:$BU$128)</f>
        <v>0</v>
      </c>
      <c r="BV136" s="165">
        <f>SUMIF($E$6:$E$128,"310",$BV$6:$BV$128)</f>
        <v>0</v>
      </c>
      <c r="BW136" s="165">
        <f>SUMIF($E$6:$E$128,"310",$BW$6:$BW$128)</f>
        <v>0</v>
      </c>
      <c r="BX136" s="165">
        <f>SUMIF($E$6:$E$128,"310",$BX$6:$BX$128)</f>
        <v>60000000</v>
      </c>
      <c r="BY136" s="165">
        <f>SUMIF($E$6:$E$128,"310",$BY$6:$BY$128)</f>
        <v>0</v>
      </c>
      <c r="BZ136" s="165">
        <f>SUMIF($E$6:$E$128,"310",$BZ$6:$BZ$128)</f>
        <v>0</v>
      </c>
      <c r="CA136" s="165">
        <f>SUMIF($E$6:$E$128,"310",$CA$6:$CA$128)</f>
        <v>0</v>
      </c>
      <c r="CB136" s="165">
        <f>SUMIF($E$6:$E$128,"310",$CB$6:$CB$128)</f>
        <v>0</v>
      </c>
      <c r="CC136" s="165">
        <f>SUMIF($E$6:$E$128,"310",$CC$6:$CC$128)</f>
        <v>0</v>
      </c>
      <c r="CD136" s="166">
        <f>SUMIF($E$6:$E$128,"310",$CD$6:$CD$128)</f>
        <v>30844000</v>
      </c>
      <c r="CE136" s="46">
        <f t="shared" ca="1" si="103"/>
        <v>0.47618894892341923</v>
      </c>
      <c r="CF136" s="78">
        <f t="shared" si="104"/>
        <v>676617338</v>
      </c>
      <c r="CG136" s="164">
        <f>SUMIF($E$6:$E$128,"310",$CG$6:$CG$128)</f>
        <v>0</v>
      </c>
      <c r="CH136" s="164">
        <f>SUMIF($E$6:$E$128,"310",$CH$6:$CH$128)</f>
        <v>222976494</v>
      </c>
      <c r="CI136" s="164">
        <f>SUMIF($E$6:$E$128,"310",$CI$6:$CI$128)</f>
        <v>0</v>
      </c>
      <c r="CJ136" s="164">
        <f>SUMIF($E$6:$E$128,"310",$CJ$6:$CJ$128)</f>
        <v>227250473</v>
      </c>
      <c r="CK136" s="164">
        <f>SUMIF($E$6:$E$128,"310",$CK$6:$CK$128)</f>
        <v>0</v>
      </c>
      <c r="CL136" s="164">
        <f>SUMIF($E$6:$E$128,"310",$CL$6:$CL$128)</f>
        <v>0</v>
      </c>
      <c r="CM136" s="164">
        <f>SUMIF($E$6:$E$128,"310",$CM$6:$CM$128)</f>
        <v>0</v>
      </c>
      <c r="CN136" s="164">
        <f>SUMIF($E$6:$E$128,"310",$CN$6:$CN$128)</f>
        <v>0</v>
      </c>
      <c r="CO136" s="164">
        <f>SUMIF($E$6:$E$128,"310",$CO$6:$CO$128)</f>
        <v>0</v>
      </c>
      <c r="CP136" s="164">
        <f>SUMIF($E$6:$E$128,"310",$CP$6:$CP$128)</f>
        <v>0</v>
      </c>
      <c r="CQ136" s="164">
        <f>SUMIF($E$6:$E$128,"310",$CQ$6:$CQ$128)</f>
        <v>0</v>
      </c>
      <c r="CR136" s="164">
        <f>SUMIF($E$6:$E$128,"310",$CR$6:$CR$128)</f>
        <v>18174807</v>
      </c>
      <c r="CS136" s="164">
        <f>SUMIF($E$6:$E$128,"310",$CS$6:$CS$128)</f>
        <v>0</v>
      </c>
      <c r="CT136" s="164">
        <f>SUMIF($E$6:$E$128,"310",$CT$6:$CT$128)</f>
        <v>0</v>
      </c>
      <c r="CU136" s="164">
        <f>SUMIF($E$6:$E$128,"310",$CU$6:$CU$128)</f>
        <v>0</v>
      </c>
      <c r="CV136" s="164">
        <f>SUMIF($E$6:$E$128,"310",$CV$6:$CV$128)</f>
        <v>0</v>
      </c>
      <c r="CW136" s="164">
        <f>SUMIF($E$6:$E$128,"310",$CW$6:$CW$128)</f>
        <v>153536886</v>
      </c>
      <c r="CX136" s="164">
        <f>SUMIF($E$6:$E$128,"310",$CX$6:$CX$128)</f>
        <v>0</v>
      </c>
      <c r="CY136" s="164">
        <f>SUMIF($E$6:$E$128,"310",$CY$6:$CY$128)</f>
        <v>0</v>
      </c>
      <c r="CZ136" s="164">
        <f>SUMIF($E$6:$E$128,"310",$CZ$6:$CZ$128)</f>
        <v>0</v>
      </c>
      <c r="DA136" s="164">
        <f>SUMIF($E$6:$E$128,"310",$DA$6:$DA$128)</f>
        <v>0</v>
      </c>
      <c r="DB136" s="164">
        <f>SUMIF($E$6:$E$128,"310",$DB$6:$DB$128)</f>
        <v>0</v>
      </c>
      <c r="DC136" s="167">
        <f>SUMIF($E$6:$E$128,"310",$DC$6:$DC$128)</f>
        <v>54678678</v>
      </c>
      <c r="DD136" s="46">
        <f t="shared" ca="1" si="105"/>
        <v>0.52381105107658077</v>
      </c>
      <c r="DE136" s="49">
        <f t="shared" si="106"/>
        <v>744283629</v>
      </c>
      <c r="DF136" s="165">
        <f>SUMIF($E$6:$E$128,"310",$DF$6:$DF$128)</f>
        <v>0</v>
      </c>
      <c r="DG136" s="165">
        <f>SUMIF($E$6:$E$128,"310",$DG$6:$DG$128)</f>
        <v>176207408</v>
      </c>
      <c r="DH136" s="165">
        <f>SUMIF($E$6:$E$128,"310",$DH$6:$DH$128)</f>
        <v>0</v>
      </c>
      <c r="DI136" s="165">
        <f>SUMIF($E$6:$E$128,"310",$DI$6:$DI$128)</f>
        <v>250800341</v>
      </c>
      <c r="DJ136" s="165">
        <f>SUMIF($E$6:$E$128,"310",$DJ$6:$DJ$128)</f>
        <v>0</v>
      </c>
      <c r="DK136" s="165">
        <f>SUMIF($E$6:$E$128,"310",$DK$6:$DK$128)</f>
        <v>0</v>
      </c>
      <c r="DL136" s="165">
        <f>SUMIF($E$6:$E$128,"310",$DL$6:$DL$128)</f>
        <v>0</v>
      </c>
      <c r="DM136" s="165">
        <f>SUMIF($E$6:$E$128,"310",$DM$6:$DM$128)</f>
        <v>0</v>
      </c>
      <c r="DN136" s="165">
        <f>SUMIF($E$6:$E$128,"310",$DN$6:$DN$128)</f>
        <v>0</v>
      </c>
      <c r="DO136" s="165">
        <f>SUMIF($E$6:$E$128,"310",$DO$6:$DO$128)</f>
        <v>0</v>
      </c>
      <c r="DP136" s="168">
        <f>SUMIF($E$6:$E$128,"310",$DP$6:$DP$128)</f>
        <v>0</v>
      </c>
      <c r="DQ136" s="168">
        <f>SUMIF($E$6:$E$128,"310",$DQ$6:$DQ$128)</f>
        <v>4760384</v>
      </c>
      <c r="DR136" s="168">
        <f>SUMIF($E$6:$E$128,"310",$DR$6:$DR$128)</f>
        <v>0</v>
      </c>
      <c r="DS136" s="168">
        <f>SUMIF($E$6:$E$128,"310",$DS$6:$DS$128)</f>
        <v>0</v>
      </c>
      <c r="DT136" s="168">
        <f>SUMIF($E$6:$E$128,"310",$DT$6:$DT$128)</f>
        <v>0</v>
      </c>
      <c r="DU136" s="168">
        <f>SUMIF($E$6:$E$128,"310",$DU$6:$DU$128)</f>
        <v>0</v>
      </c>
      <c r="DV136" s="168">
        <f>SUMIF($E$6:$E$128,"310",$DV$6:$DV$128)</f>
        <v>278463114</v>
      </c>
      <c r="DW136" s="168">
        <f>SUMIF($E$6:$E$128,"310",$DW$6:$DW$128)</f>
        <v>0</v>
      </c>
      <c r="DX136" s="168">
        <f>SUMIF($E$6:$E$128,"310",$DX$6:$DX$128)</f>
        <v>0</v>
      </c>
      <c r="DY136" s="168">
        <f>SUMIF($E$6:$E$128,"310",$DY$6:$DY$128)</f>
        <v>0</v>
      </c>
      <c r="DZ136" s="168">
        <f>SUMIF($E$6:$E$128,"310",$DZ$6:$DZ$128)</f>
        <v>0</v>
      </c>
      <c r="EA136" s="168">
        <f>SUMIF($E$6:$E$128,"310",$EA$6:$EA$128)</f>
        <v>0</v>
      </c>
      <c r="EB136" s="168">
        <f>SUMIF($E$6:$E$128,"310",$EB$6:$EB$128)</f>
        <v>34052382</v>
      </c>
    </row>
    <row r="137" spans="1:132" x14ac:dyDescent="0.25">
      <c r="C137" s="171"/>
      <c r="D137" s="160" t="s">
        <v>372</v>
      </c>
      <c r="E137" s="153">
        <v>410</v>
      </c>
      <c r="F137" s="161"/>
      <c r="G137" s="162">
        <f ca="1">SUMIF($E$6:$G$129,"410",$G$6:$J$128)</f>
        <v>9209707080</v>
      </c>
      <c r="H137" s="163">
        <f ca="1">SUMIF($E$6:$H$129,"410",$H$6:$J$128)</f>
        <v>7720196000</v>
      </c>
      <c r="I137" s="163">
        <f ca="1">SUMIF($E$6:$I$129,"410",$I$6:$J$128)</f>
        <v>-1489511080</v>
      </c>
      <c r="J137" s="162">
        <f>SUMIF($E$6:$E$128,"410",$J$6:$J$128)</f>
        <v>0</v>
      </c>
      <c r="K137" s="162">
        <f>SUMIF($E$6:$E$129,"410",$K$6:$K$129)</f>
        <v>477989917</v>
      </c>
      <c r="L137" s="162">
        <f>SUMIF($E$6:$E$129,"410",$L$6:$L$129)</f>
        <v>0</v>
      </c>
      <c r="M137" s="162">
        <f>SUMIF($E$6:$E$129,"410",$M$6:$M$129)</f>
        <v>0</v>
      </c>
      <c r="N137" s="164">
        <f>SUMIF($E$6:$E$128,"410",$N$6:$N$128)</f>
        <v>0</v>
      </c>
      <c r="O137" s="161">
        <f>SUMIF($E$6:$E$128,"410",$O$6:$O$128)</f>
        <v>0</v>
      </c>
      <c r="P137" s="161">
        <f>SUMIF($E$6:$E$128,"410",$P$6:$P$128)</f>
        <v>0</v>
      </c>
      <c r="Q137" s="161">
        <f>SUMIF($E$6:$E$128,"410",$Q$6:$Q$128)</f>
        <v>3406132571</v>
      </c>
      <c r="R137" s="161">
        <f>SUMIF($E$6:$E$128,"410",$R$6:$R$128)</f>
        <v>75000000</v>
      </c>
      <c r="S137" s="161">
        <f>SUMIF($E$6:$E$128,"410",$S$6:$S$128)</f>
        <v>180000000</v>
      </c>
      <c r="T137" s="161">
        <f>SUMIF($E$6:$E$128,"410",$T$6:$T$128)</f>
        <v>30000000</v>
      </c>
      <c r="U137" s="161">
        <f>SUMIF($E$6:$E$128,"410",$U$6:$U$128)</f>
        <v>58135548</v>
      </c>
      <c r="V137" s="161">
        <f>SUMIF($E$6:$E$128,"410",$V$6:$V$128)</f>
        <v>0</v>
      </c>
      <c r="W137" s="161">
        <f>SUMIF($E$6:$E$128,"410",$W$6:$W$128)</f>
        <v>0</v>
      </c>
      <c r="X137" s="161">
        <f>SUMIF($E$6:$E$128,"410",$X$6:$X$128)</f>
        <v>104834591</v>
      </c>
      <c r="Y137" s="161">
        <f>SUMIF($E$6:$E$128,"410",$Y$6:$Y$128)</f>
        <v>2860154075</v>
      </c>
      <c r="Z137" s="161">
        <f>SUMIF($E$6:$E$128,"410",$Z$6:$Z$128)</f>
        <v>0</v>
      </c>
      <c r="AA137" s="161">
        <f>SUMIF($E$6:$E$128,"410",$AA$6:$AA$128)</f>
        <v>625000000</v>
      </c>
      <c r="AB137" s="161">
        <f>SUMIF($E$6:$E$105,"410",$AB$6:$AB$105)</f>
        <v>392155169</v>
      </c>
      <c r="AC137" s="161">
        <f>SUMIF($E$6:$E$105,"410",$AC$6:$AC$105)</f>
        <v>0</v>
      </c>
      <c r="AD137" s="161">
        <f>SUMIF($E$6:$E$128,"410",$AD$6:$AD$128)</f>
        <v>475996742</v>
      </c>
      <c r="AE137" s="161">
        <f>SUMIF($E$6:$E$128,"410",$AE$6:$AE$128)</f>
        <v>0</v>
      </c>
      <c r="AF137" s="161">
        <f>SUMIF($E$6:$E$128,"410",$AF$6:$AF$128)</f>
        <v>524308467</v>
      </c>
      <c r="AG137" s="46">
        <f t="shared" ca="1" si="100"/>
        <v>0.75414457828771686</v>
      </c>
      <c r="AH137" s="164">
        <f>SUMIF($E$6:$E$128,"410",$AH$6:$AH$128)</f>
        <v>6945450662</v>
      </c>
      <c r="AI137" s="164">
        <f>SUMIF($E$6:$E$128,"410",$AI$6:$AI$128)</f>
        <v>0</v>
      </c>
      <c r="AJ137" s="164">
        <f>SUMIF($E$6:$E$128,"410",$AJ$6:$AJ$128)</f>
        <v>404664018</v>
      </c>
      <c r="AK137" s="164">
        <f>SUMIF($E$6:$E$128,"410",$AK$6:$AK$128)</f>
        <v>0</v>
      </c>
      <c r="AL137" s="164">
        <f>SUMIF($E$6:$E$128,"410",$AL$6:$AL$128)</f>
        <v>0</v>
      </c>
      <c r="AM137" s="164">
        <f>SUMIF($E$6:$E$128,"410",$AM$6:$AM$128)</f>
        <v>0</v>
      </c>
      <c r="AN137" s="164">
        <f>SUMIF($E$6:$E$128,"410",$AN$6:$AN$128)</f>
        <v>0</v>
      </c>
      <c r="AO137" s="164">
        <f>SUMIF($E$6:$E$128,"410",$AO$6:$AO$128)</f>
        <v>0</v>
      </c>
      <c r="AP137" s="164">
        <f>SUMIF($E$6:$E$128,"410",$AP$6:$AP$128)</f>
        <v>2259474345</v>
      </c>
      <c r="AQ137" s="164">
        <f>SUMIF($E$6:$E$128,"410",$AQ$6:$AQ$128)</f>
        <v>58183470</v>
      </c>
      <c r="AR137" s="164">
        <f>SUMIF($E$6:$E$128,"410",$AR$6:$AR$128)</f>
        <v>57981429</v>
      </c>
      <c r="AS137" s="164">
        <f>SUMIF($E$6:$E$128,"410",$AS$6:$AS$128)</f>
        <v>21857364</v>
      </c>
      <c r="AT137" s="164">
        <f>SUMIF($E$6:$E$128,"410",$AT$6:$AT$128)</f>
        <v>20000000</v>
      </c>
      <c r="AU137" s="164">
        <f>SUMIF($E$6:$E$128,"410",$AU$6:$AU$128)</f>
        <v>0</v>
      </c>
      <c r="AV137" s="164">
        <f>SUMIF($E$6:$E$128,"410",$AV$6:$AV$128)</f>
        <v>0</v>
      </c>
      <c r="AW137" s="164">
        <f>SUMIF($E$6:$E$128,"410",$AW$6:$AW$128)</f>
        <v>50000000</v>
      </c>
      <c r="AX137" s="164">
        <f>SUMIF($E$6:$E$128,"410",$AX$6:$AX$128)</f>
        <v>2416797262</v>
      </c>
      <c r="AY137" s="164">
        <f>SUMIF($E$6:$E$128,"410",$AY$6:$AY$128)</f>
        <v>0</v>
      </c>
      <c r="AZ137" s="164">
        <f>SUMIF($E$6:$E$128,"410",$AZ$6:$AZ$128)</f>
        <v>426410072</v>
      </c>
      <c r="BA137" s="164">
        <f>SUMIF($E$6:$E$128,"410",$BA$6:$BA$128)</f>
        <v>357711753</v>
      </c>
      <c r="BB137" s="164">
        <f>SUMIF($E$6:$E$128,"410",$BB$6:$BB$128)</f>
        <v>0</v>
      </c>
      <c r="BC137" s="164">
        <f>SUMIF($E$6:$E$128,"410",$BC$6:$BC$128)</f>
        <v>467767409</v>
      </c>
      <c r="BD137" s="164">
        <f>SUMIF($E$6:$E$128,"410",$BD$6:$BD$128)</f>
        <v>0</v>
      </c>
      <c r="BE137" s="164">
        <f>SUMIF($E$6:$E$128,"410",$BE$6:$BE$128)</f>
        <v>404603540</v>
      </c>
      <c r="BF137" s="146">
        <f t="shared" ca="1" si="101"/>
        <v>0.24585542171228314</v>
      </c>
      <c r="BG137" s="49">
        <f t="shared" si="102"/>
        <v>2264256418</v>
      </c>
      <c r="BH137" s="165">
        <f>SUMIF($E$6:$E$128,"410",$BH$6:$BH$128)</f>
        <v>0</v>
      </c>
      <c r="BI137" s="165">
        <f>SUMIF($E$6:$E$128,"410",$BI$6:$BI$128)</f>
        <v>73325899</v>
      </c>
      <c r="BJ137" s="165">
        <f>SUMIF($E$6:$E$128,"410",$BJ$6:$BJ$128)</f>
        <v>0</v>
      </c>
      <c r="BK137" s="165">
        <f>SUMIF($E$6:$E$128,"410",$BK$6:$BK$128)</f>
        <v>0</v>
      </c>
      <c r="BL137" s="165">
        <f>SUMIF($E$6:$E$128,"410",$BL$6:$BL$128)</f>
        <v>0</v>
      </c>
      <c r="BM137" s="165">
        <f>SUMIF($E$6:$E$128,"410",$BM$6:$BM$128)</f>
        <v>0</v>
      </c>
      <c r="BN137" s="165">
        <f>SUMIF($E$6:$E$128,"410",$BN$6:$BN$128)</f>
        <v>0</v>
      </c>
      <c r="BO137" s="165">
        <f>SUMIF($E$6:$E$128,"410",$BO$6:$BO$128)</f>
        <v>1146658226</v>
      </c>
      <c r="BP137" s="165">
        <f>SUMIF($E$6:$E$128,"410",$BP$6:$BP$128)</f>
        <v>16816530</v>
      </c>
      <c r="BQ137" s="165">
        <f>SUMIF($E$6:$E$128,"410",$BQ$6:$BQ$128)</f>
        <v>122018571</v>
      </c>
      <c r="BR137" s="165">
        <f>SUMIF($E$6:$E$128,"410",$BR$6:$BR$128)</f>
        <v>8142636</v>
      </c>
      <c r="BS137" s="165">
        <f>SUMIF($E$6:$E$128,"410",$BS$6:$BS$128)</f>
        <v>38135548</v>
      </c>
      <c r="BT137" s="165">
        <f>SUMIF($E$6:$E$128,"410",$BT$6:$BT$128)</f>
        <v>0</v>
      </c>
      <c r="BU137" s="165">
        <f>SUMIF($E$6:$E$128,"410",$BU$6:$BU$128)</f>
        <v>0</v>
      </c>
      <c r="BV137" s="165">
        <f>SUMIF($E$6:$E$128,"410",$BV$6:$BV$128)</f>
        <v>54834591</v>
      </c>
      <c r="BW137" s="165">
        <f>SUMIF($E$6:$E$128,"410",$BW$6:$BW$128)</f>
        <v>443356813</v>
      </c>
      <c r="BX137" s="165">
        <f>SUMIF($E$6:$E$128,"410",$BX$6:$BX$128)</f>
        <v>0</v>
      </c>
      <c r="BY137" s="165">
        <f>SUMIF($E$6:$E$128,"410",$BY$6:$BY$128)</f>
        <v>198589928</v>
      </c>
      <c r="BZ137" s="165">
        <f>SUMIF($E$6:$E$128,"410",$BZ$6:$BZ$128)</f>
        <v>34443416</v>
      </c>
      <c r="CA137" s="165">
        <f>SUMIF($E$6:$E$128,"410",$CA$6:$CA$128)</f>
        <v>0</v>
      </c>
      <c r="CB137" s="165">
        <f>SUMIF($E$6:$E$128,"410",$CB$6:$CB$128)</f>
        <v>8229333</v>
      </c>
      <c r="CC137" s="165">
        <f>SUMIF($E$6:$E$128,"410",$CC$6:$CC$128)</f>
        <v>0</v>
      </c>
      <c r="CD137" s="166">
        <f>SUMIF($E$6:$E$128,"410",$CD$6:$CD$128)</f>
        <v>119704927</v>
      </c>
      <c r="CE137" s="46">
        <f t="shared" ca="1" si="103"/>
        <v>0.55659352827104247</v>
      </c>
      <c r="CF137" s="49">
        <f t="shared" si="104"/>
        <v>5126063358</v>
      </c>
      <c r="CG137" s="164">
        <f>SUMIF($E$6:$E$128,"410",$CG$6:$CG$128)</f>
        <v>0</v>
      </c>
      <c r="CH137" s="164">
        <f>SUMIF($E$6:$E$128,"410",$CH$6:$CH$128)</f>
        <v>363019581</v>
      </c>
      <c r="CI137" s="164">
        <f>SUMIF($E$6:$E$128,"410",$CI$6:$CI$128)</f>
        <v>0</v>
      </c>
      <c r="CJ137" s="164">
        <f>SUMIF($E$6:$E$128,"410",$CJ$6:$CJ$128)</f>
        <v>0</v>
      </c>
      <c r="CK137" s="164">
        <f>SUMIF($E$6:$E$128,"410",$CK$6:$CK$128)</f>
        <v>0</v>
      </c>
      <c r="CL137" s="164">
        <f>SUMIF($E$6:$E$128,"410",$CL$6:$CL$128)</f>
        <v>0</v>
      </c>
      <c r="CM137" s="164">
        <f>SUMIF($E$6:$E$128,"410",$CM$6:$CM$128)</f>
        <v>0</v>
      </c>
      <c r="CN137" s="164">
        <f>SUMIF($E$6:$E$128,"410",$CN$6:$CN$128)</f>
        <v>1680122209</v>
      </c>
      <c r="CO137" s="164">
        <f>SUMIF($E$6:$E$128,"410",$CO$6:$CO$128)</f>
        <v>20074931</v>
      </c>
      <c r="CP137" s="164">
        <f>SUMIF($E$6:$E$128,"410",$CP$6:$CP$128)</f>
        <v>21592891</v>
      </c>
      <c r="CQ137" s="164">
        <f>SUMIF($E$6:$E$128,"410",$CQ$6:$CQ$128)</f>
        <v>12174526</v>
      </c>
      <c r="CR137" s="164">
        <f>SUMIF($E$6:$E$128,"410",$CR$6:$CR$128)</f>
        <v>0</v>
      </c>
      <c r="CS137" s="164">
        <f>SUMIF($E$6:$E$128,"410",$CS$6:$CS$128)</f>
        <v>0</v>
      </c>
      <c r="CT137" s="164">
        <f>SUMIF($E$6:$E$128,"410",$CT$6:$CT$128)</f>
        <v>0</v>
      </c>
      <c r="CU137" s="164">
        <f>SUMIF($E$6:$E$128,"410",$CU$6:$CU$128)</f>
        <v>7513999</v>
      </c>
      <c r="CV137" s="164">
        <f>SUMIF($E$6:$E$128,"410",$CV$6:$CV$128)</f>
        <v>1982267495</v>
      </c>
      <c r="CW137" s="164">
        <f>SUMIF($E$6:$E$128,"410",$CW$6:$CW$128)</f>
        <v>0</v>
      </c>
      <c r="CX137" s="164">
        <f>SUMIF($E$6:$E$128,"410",$CX$6:$CX$128)</f>
        <v>347973367</v>
      </c>
      <c r="CY137" s="164">
        <f>SUMIF($E$6:$E$128,"410",$CY$6:$CY$128)</f>
        <v>45416665</v>
      </c>
      <c r="CZ137" s="164">
        <f>SUMIF($E$6:$E$128,"410",$CZ$6:$CZ$128)</f>
        <v>0</v>
      </c>
      <c r="DA137" s="164">
        <f>SUMIF($E$6:$E$128,"410",$DA$6:$DA$128)</f>
        <v>311472790</v>
      </c>
      <c r="DB137" s="164">
        <f>SUMIF($E$6:$E$128,"410",$DB$6:$DB$128)</f>
        <v>0</v>
      </c>
      <c r="DC137" s="167">
        <f>SUMIF($E$6:$E$128,"410",$DC$6:$DC$128)</f>
        <v>334434904</v>
      </c>
      <c r="DD137" s="46">
        <f t="shared" ca="1" si="105"/>
        <v>0.44340647172895753</v>
      </c>
      <c r="DE137" s="49">
        <f t="shared" si="106"/>
        <v>4083643722</v>
      </c>
      <c r="DF137" s="165">
        <f>SUMIF($E$6:$E$128,"410",$DF$6:$DF$128)</f>
        <v>0</v>
      </c>
      <c r="DG137" s="165">
        <f>SUMIF($E$6:$E$128,"410",$DG$6:$DG$128)</f>
        <v>114970336</v>
      </c>
      <c r="DH137" s="165">
        <f>SUMIF($E$6:$E$128,"410",$DH$6:$DH$128)</f>
        <v>0</v>
      </c>
      <c r="DI137" s="165">
        <f>SUMIF($E$6:$E$128,"410",$DI$6:$DI$128)</f>
        <v>0</v>
      </c>
      <c r="DJ137" s="165">
        <f>SUMIF($E$6:$E$128,"410",$DJ$6:$DJ$128)</f>
        <v>0</v>
      </c>
      <c r="DK137" s="165">
        <f>SUMIF($E$6:$E$128,"410",$DK$6:$DK$128)</f>
        <v>0</v>
      </c>
      <c r="DL137" s="165">
        <f>SUMIF($E$6:$E$128,"410",$DL$6:$DL$128)</f>
        <v>0</v>
      </c>
      <c r="DM137" s="165">
        <f>SUMIF($E$6:$E$128,"410",$DM$6:$DM$128)</f>
        <v>1726010362</v>
      </c>
      <c r="DN137" s="165">
        <f>SUMIF($E$6:$E$128,"410",$DN$6:$DN$128)</f>
        <v>54925069</v>
      </c>
      <c r="DO137" s="165">
        <f>SUMIF($E$6:$E$128,"410",$DO$6:$DO$128)</f>
        <v>158407109</v>
      </c>
      <c r="DP137" s="168">
        <f>SUMIF($E$6:$E$128,"410",$DP$6:$DP$128)</f>
        <v>17825474</v>
      </c>
      <c r="DQ137" s="168">
        <f>SUMIF($E$6:$E$128,"410",$DQ$6:$DQ$128)</f>
        <v>58135548</v>
      </c>
      <c r="DR137" s="168">
        <f>SUMIF($E$6:$E$128,"410",$DR$6:$DR$128)</f>
        <v>0</v>
      </c>
      <c r="DS137" s="168">
        <f>SUMIF($E$6:$E$128,"410",$DS$6:$DS$128)</f>
        <v>0</v>
      </c>
      <c r="DT137" s="168">
        <f>SUMIF($E$6:$E$128,"410",$DT$6:$DT$128)</f>
        <v>97320592</v>
      </c>
      <c r="DU137" s="168">
        <f>SUMIF($E$6:$E$128,"410",$DU$6:$DU$128)</f>
        <v>877886580</v>
      </c>
      <c r="DV137" s="168">
        <f>SUMIF($E$6:$E$128,"410",$DV$6:$DV$128)</f>
        <v>0</v>
      </c>
      <c r="DW137" s="168">
        <f>SUMIF($E$6:$E$128,"410",$DW$6:$DW$128)</f>
        <v>277026633</v>
      </c>
      <c r="DX137" s="168">
        <f>SUMIF($E$6:$E$128,"410",$DX$6:$DX$128)</f>
        <v>346738504</v>
      </c>
      <c r="DY137" s="168">
        <f>SUMIF($E$6:$E$128,"410",$DY$6:$DY$128)</f>
        <v>0</v>
      </c>
      <c r="DZ137" s="168">
        <f>SUMIF($E$6:$E$128,"410",$DZ$6:$DZ$128)</f>
        <v>164523952</v>
      </c>
      <c r="EA137" s="168">
        <f>SUMIF($E$6:$E$128,"410",$EA$6:$EA$128)</f>
        <v>0</v>
      </c>
      <c r="EB137" s="168">
        <f>SUMIF($E$6:$E$128,"410",$EB$6:$EB$128)</f>
        <v>189873563</v>
      </c>
    </row>
    <row r="138" spans="1:132" ht="14.25" customHeight="1" x14ac:dyDescent="0.25">
      <c r="C138" s="171"/>
      <c r="D138" s="172" t="s">
        <v>373</v>
      </c>
      <c r="E138" s="153">
        <v>510</v>
      </c>
      <c r="F138" s="161"/>
      <c r="G138" s="162">
        <f ca="1">SUMIF($E$6:$G$129,"510",$G$6:$J$128)</f>
        <v>2334820216</v>
      </c>
      <c r="H138" s="163">
        <f ca="1">SUMIF($E$6:$H$129,"510",$H$6:$J$128)</f>
        <v>2219600000</v>
      </c>
      <c r="I138" s="163">
        <f ca="1">SUMIF($E$6:$I$129,"510",$I$6:$J$128)</f>
        <v>-115220216</v>
      </c>
      <c r="J138" s="162">
        <f>SUMIF($E$6:$E$128,"510",$J$6:$J$128)</f>
        <v>0</v>
      </c>
      <c r="K138" s="162">
        <f>SUMIF($E$6:$E$129,"510",$K$6:$K$129)</f>
        <v>655468218</v>
      </c>
      <c r="L138" s="162">
        <f>SUMIF($E$6:$E$129,"510",$L$6:$L$129)</f>
        <v>0</v>
      </c>
      <c r="M138" s="162">
        <f>SUMIF($E$6:$E$129,"510",$M$6:$M$129)</f>
        <v>114000000</v>
      </c>
      <c r="N138" s="164">
        <f>SUMIF($E$6:$E$128,"510",$N$6:$N$128)</f>
        <v>0</v>
      </c>
      <c r="O138" s="161">
        <f>SUMIF($E$6:$E$128,"510",$O$6:$O$128)</f>
        <v>0</v>
      </c>
      <c r="P138" s="161">
        <f>SUMIF($E$6:$E$128,"510",$P$6:$P$128)</f>
        <v>0</v>
      </c>
      <c r="Q138" s="161">
        <f>SUMIF($E$6:$E$128,"510",$Q$6:$Q$128)</f>
        <v>0</v>
      </c>
      <c r="R138" s="161">
        <f>SUMIF($E$6:$E$128,"510",$R$6:$R$128)</f>
        <v>0</v>
      </c>
      <c r="S138" s="161">
        <f>SUMIF($E$6:$E$128,"510",$S$6:$S$128)</f>
        <v>0</v>
      </c>
      <c r="T138" s="161">
        <f>SUMIF($E$6:$E$128,"510",$T$6:$T$128)</f>
        <v>0</v>
      </c>
      <c r="U138" s="161">
        <f>SUMIF($E$6:$E$128,"510",$U$6:$U$128)</f>
        <v>8336885</v>
      </c>
      <c r="V138" s="161">
        <f>SUMIF($E$6:$E$128,"510",$V$6:$V$128)</f>
        <v>0</v>
      </c>
      <c r="W138" s="161">
        <f>SUMIF($E$6:$E$128,"510",$W$6:$W$128)</f>
        <v>0</v>
      </c>
      <c r="X138" s="161">
        <f>SUMIF($E$6:$E$128,"510",$X$6:$X$128)</f>
        <v>0</v>
      </c>
      <c r="Y138" s="161">
        <f>SUMIF($E$6:$E$128,"510",$Y$6:$Y$128)</f>
        <v>0</v>
      </c>
      <c r="Z138" s="161">
        <f>SUMIF($E$6:$E$128,"510",$Z$6:$Z$128)</f>
        <v>320000000</v>
      </c>
      <c r="AA138" s="161">
        <f>SUMIF($E$6:$E$128,"510",$AA$6:$AA$128)</f>
        <v>358636130</v>
      </c>
      <c r="AB138" s="161">
        <f>SUMIF($E$6:$E$128,"510",$AB$6:$AB$128)</f>
        <v>217168075</v>
      </c>
      <c r="AC138" s="161">
        <f>SUMIF($E$6:$E$128,"510",$AC$6:$AC$128)</f>
        <v>0</v>
      </c>
      <c r="AD138" s="161"/>
      <c r="AE138" s="161">
        <f>SUMIF($E$6:$E$128,"510",$AE$6:$AE$128)</f>
        <v>422607964</v>
      </c>
      <c r="AF138" s="161">
        <f>SUMIF($E$6:$E$128,"510",$AF$6:$AF$128)</f>
        <v>238602944</v>
      </c>
      <c r="AG138" s="46">
        <f t="shared" ca="1" si="100"/>
        <v>0.91518318085352746</v>
      </c>
      <c r="AH138" s="164">
        <f>SUMIF($E$6:$E$128,"510",$AH$6:$AH$128)</f>
        <v>2136788192</v>
      </c>
      <c r="AI138" s="164">
        <f>SUMIF($E$6:$E$128,"510",$AI$6:$AI$128)</f>
        <v>0</v>
      </c>
      <c r="AJ138" s="164">
        <f>SUMIF($E$6:$E$128,"510",$AJ$6:$AJ$128)</f>
        <v>585950310</v>
      </c>
      <c r="AK138" s="164">
        <f>SUMIF($E$6:$E$128,"510",$AK$6:$AK$128)</f>
        <v>0</v>
      </c>
      <c r="AL138" s="164">
        <f>SUMIF($E$6:$E$128,"510",$AL$6:$AL$128)</f>
        <v>114000000</v>
      </c>
      <c r="AM138" s="164">
        <f>SUMIF($E$6:$E$128,"510",$AM$6:$AM$128)</f>
        <v>0</v>
      </c>
      <c r="AN138" s="164">
        <f>SUMIF($E$6:$E$128,"510",$AN$6:$AN$128)</f>
        <v>0</v>
      </c>
      <c r="AO138" s="164">
        <f>SUMIF($E$6:$E$128,"510",$AO$6:$AO$128)</f>
        <v>0</v>
      </c>
      <c r="AP138" s="164">
        <f>SUMIF($E$6:$E$128,"510",$AP$6:$AP$128)</f>
        <v>0</v>
      </c>
      <c r="AQ138" s="164">
        <f>SUMIF($E$6:$E$128,"510",$AQ$6:$AQ$128)</f>
        <v>0</v>
      </c>
      <c r="AR138" s="164">
        <f>SUMIF($E$6:$E$128,"510",$AR$6:$AR$128)</f>
        <v>0</v>
      </c>
      <c r="AS138" s="164">
        <f>SUMIF($E$6:$E$128,"510",$AS$6:$AS$128)</f>
        <v>0</v>
      </c>
      <c r="AT138" s="164">
        <f>SUMIF($E$6:$E$128,"510",$AT$6:$AT$128)</f>
        <v>5819242</v>
      </c>
      <c r="AU138" s="164">
        <f>SUMIF($E$6:$E$128,"510",$AU$6:$AU$128)</f>
        <v>0</v>
      </c>
      <c r="AV138" s="164">
        <f>SUMIF($E$6:$E$128,"510",$AV$6:$AV$128)</f>
        <v>0</v>
      </c>
      <c r="AW138" s="164">
        <f>SUMIF($E$6:$E$128,"510",$AW$6:$AW$128)</f>
        <v>0</v>
      </c>
      <c r="AX138" s="164">
        <f>SUMIF($E$6:$E$128,"510",$AX$6:$AX$128)</f>
        <v>0</v>
      </c>
      <c r="AY138" s="164">
        <f>SUMIF($E$6:$E$128,"510",$AY$6:$AY$128)</f>
        <v>265000000</v>
      </c>
      <c r="AZ138" s="164">
        <f>SUMIF($E$6:$E$128,"510",$AZ$6:$AZ$128)</f>
        <v>340841000</v>
      </c>
      <c r="BA138" s="164">
        <f>SUMIF($E$6:$E$128,"510",$BA$6:$BA$128)</f>
        <v>213168075</v>
      </c>
      <c r="BB138" s="164">
        <f>SUMIF($E$6:$E$128,"510",$BB$6:$BB$128)</f>
        <v>0</v>
      </c>
      <c r="BC138" s="164">
        <f>SUMIF($E$6:$E$128," 510",$BC$6:$BC$128)</f>
        <v>0</v>
      </c>
      <c r="BD138" s="164">
        <f>SUMIF($E$6:$E$128,"510",$BD$6:$BD$128)</f>
        <v>422607964</v>
      </c>
      <c r="BE138" s="164">
        <f>SUMIF($E$6:$E$128,"510",$BE$6:$BE$128)</f>
        <v>189401601</v>
      </c>
      <c r="BF138" s="146">
        <f t="shared" ca="1" si="101"/>
        <v>8.4816819146472544E-2</v>
      </c>
      <c r="BG138" s="49">
        <f t="shared" si="102"/>
        <v>198032024</v>
      </c>
      <c r="BH138" s="165">
        <f>SUMIF($E$6:$E$128,"510",$BH$6:$BH$128)</f>
        <v>0</v>
      </c>
      <c r="BI138" s="165">
        <f>SUMIF($E$6:$E$128,"510",$BI$6:$BI$128)</f>
        <v>69517908</v>
      </c>
      <c r="BJ138" s="165">
        <f>SUMIF($E$6:$E$128,"510",$BJ$6:$BJ$128)</f>
        <v>0</v>
      </c>
      <c r="BK138" s="165">
        <f>SUMIF($E$6:$E$128,"510",$BK$6:$BK$128)</f>
        <v>0</v>
      </c>
      <c r="BL138" s="165">
        <f>SUMIF($E$6:$E$128,"510",$BL$6:$BL$128)</f>
        <v>0</v>
      </c>
      <c r="BM138" s="165">
        <f>SUMIF($E$6:$E$128,"510",$BM$6:$BM$128)</f>
        <v>0</v>
      </c>
      <c r="BN138" s="165">
        <f>SUMIF($E$6:$E$128,"510",$BN$6:$BN$128)</f>
        <v>0</v>
      </c>
      <c r="BO138" s="165">
        <f>SUMIF($E$6:$E$128,"510",$BO$6:$BO$128)</f>
        <v>0</v>
      </c>
      <c r="BP138" s="165">
        <f>SUMIF($E$6:$E$128,"510",$BP$6:$BP$128)</f>
        <v>0</v>
      </c>
      <c r="BQ138" s="165">
        <f>SUMIF($E$6:$E$128,"510",$BQ$6:$BQ$128)</f>
        <v>0</v>
      </c>
      <c r="BR138" s="165">
        <f>SUMIF($E$6:$E$128,"510",$BR$6:$BR$128)</f>
        <v>0</v>
      </c>
      <c r="BS138" s="165">
        <f>SUMIF($E$6:$E$128,"510",$BS$6:$BS$128)</f>
        <v>2517643</v>
      </c>
      <c r="BT138" s="165">
        <f>SUMIF($E$6:$E$128,"510",$BT$6:$BT$128)</f>
        <v>0</v>
      </c>
      <c r="BU138" s="165">
        <f>SUMIF($E$6:$E$128,"510",$BU$6:$BU$128)</f>
        <v>0</v>
      </c>
      <c r="BV138" s="165">
        <f>SUMIF($E$6:$E$128,"510",$BV$6:$BV$128)</f>
        <v>0</v>
      </c>
      <c r="BW138" s="165">
        <f>SUMIF($E$6:$E$128,"510",$BW$6:$BW$128)</f>
        <v>0</v>
      </c>
      <c r="BX138" s="165">
        <f>SUMIF($E$6:$E$128,"510",$BX$6:$BX$128)</f>
        <v>55000000</v>
      </c>
      <c r="BY138" s="165">
        <f>SUMIF($E$6:$E$128,"510",$BY$6:$BY$128)</f>
        <v>17795130</v>
      </c>
      <c r="BZ138" s="165">
        <f>SUMIF($E$6:$E$128,"510",$BZ$6:$BZ$128)</f>
        <v>4000000</v>
      </c>
      <c r="CA138" s="165">
        <f>SUMIF($E$6:$E$128,"510",$CA$6:$CA$128)</f>
        <v>0</v>
      </c>
      <c r="CB138" s="165">
        <f>SUMIF($E$6:$E$128,"510",$CB$6:$CB$128)</f>
        <v>0</v>
      </c>
      <c r="CC138" s="165">
        <f>SUMIF($E$6:$E$128,"510",$CC$6:$CC$128)</f>
        <v>0</v>
      </c>
      <c r="CD138" s="166">
        <f>SUMIF($E$6:$E$128,"510",$CD$6:$CD$128)</f>
        <v>49201343</v>
      </c>
      <c r="CE138" s="46">
        <f t="shared" ca="1" si="103"/>
        <v>0.65305664930905327</v>
      </c>
      <c r="CF138" s="49">
        <f t="shared" si="104"/>
        <v>1524769867</v>
      </c>
      <c r="CG138" s="164">
        <f>SUMIF($E$6:$E$128,"510",$CG$6:$CG$128)</f>
        <v>0</v>
      </c>
      <c r="CH138" s="164">
        <f>SUMIF($E$6:$E$128,"510",$CH$6:$CH$128)</f>
        <v>577552962</v>
      </c>
      <c r="CI138" s="164">
        <f>SUMIF($E$6:$E$128,"510",$CI$6:$CI$128)</f>
        <v>0</v>
      </c>
      <c r="CJ138" s="164">
        <f>SUMIF($E$6:$E$128,"510",$CJ$6:$CJ$128)</f>
        <v>0</v>
      </c>
      <c r="CK138" s="164">
        <f>SUMIF($E$6:$E$128,"510",$CK$6:$CK$128)</f>
        <v>0</v>
      </c>
      <c r="CL138" s="164">
        <f>SUMIF($E$6:$E$128,"510",$CL$6:$CL$128)</f>
        <v>0</v>
      </c>
      <c r="CM138" s="164">
        <f>SUMIF($E$6:$E$128,"510",$CM$6:$CM$128)</f>
        <v>0</v>
      </c>
      <c r="CN138" s="164">
        <f>SUMIF($E$6:$E$128,"510",$CN$6:$CN$128)</f>
        <v>0</v>
      </c>
      <c r="CO138" s="164">
        <f>SUMIF($E$6:$E$128,"510",$CO$6:$CO$128)</f>
        <v>0</v>
      </c>
      <c r="CP138" s="164">
        <f>SUMIF($E$6:$E$128,"510",$CP$6:$CP$128)</f>
        <v>0</v>
      </c>
      <c r="CQ138" s="164">
        <f>SUMIF($E$6:$E$128,"510",$CQ$6:$CQ$128)</f>
        <v>0</v>
      </c>
      <c r="CR138" s="164">
        <f>SUMIF($E$6:$E$128,"510",$CR$6:$CR$128)</f>
        <v>5819242</v>
      </c>
      <c r="CS138" s="164">
        <f>SUMIF($E$6:$E$128,"510",$CS$6:$CS$128)</f>
        <v>0</v>
      </c>
      <c r="CT138" s="164">
        <f>SUMIF($E$6:$E$128,"510",$CT$6:$CT$128)</f>
        <v>0</v>
      </c>
      <c r="CU138" s="164">
        <f>SUMIF($E$6:$E$128,"510",$CU$6:$CU$128)</f>
        <v>0</v>
      </c>
      <c r="CV138" s="164">
        <f>SUMIF($E$6:$E$128,"510",$CV$6:$CV$128)</f>
        <v>0</v>
      </c>
      <c r="CW138" s="164">
        <f>SUMIF($E$6:$E$128,"510",$CW$6:$CW$128)</f>
        <v>253002170</v>
      </c>
      <c r="CX138" s="164">
        <f>SUMIF($E$6:$E$128,"510",$CX$6:$CX$128)</f>
        <v>309847785</v>
      </c>
      <c r="CY138" s="164">
        <f>SUMIF($E$6:$E$128,"510",$CY$6:$CY$128)</f>
        <v>195547662</v>
      </c>
      <c r="CZ138" s="164">
        <f>SUMIF($E$6:$E$128,"510",$CZ$6:$CZ$128)</f>
        <v>0</v>
      </c>
      <c r="DA138" s="164">
        <f>SUMIF($E$6:$E$128,"510",$DA$6:$DA$128)</f>
        <v>0</v>
      </c>
      <c r="DB138" s="164">
        <f>SUMIF($E$6:$E$128,"510",$DB$6:$DB$128)</f>
        <v>0</v>
      </c>
      <c r="DC138" s="167">
        <f>SUMIF($E$6:$E$128,"510",$DC$6:$DC$128)</f>
        <v>183000046</v>
      </c>
      <c r="DD138" s="46">
        <f t="shared" ca="1" si="105"/>
        <v>0.34694335069094673</v>
      </c>
      <c r="DE138" s="49">
        <f t="shared" si="106"/>
        <v>810050349</v>
      </c>
      <c r="DF138" s="165">
        <f>SUMIF($E$6:$E$128,"510",$DF$6:$DF$128)</f>
        <v>0</v>
      </c>
      <c r="DG138" s="165">
        <f>SUMIF($E$6:$E$128,"510",$DG$6:$DG$128)</f>
        <v>77915256</v>
      </c>
      <c r="DH138" s="165">
        <f>SUMIF($E$6:$E$128,"510",$DH$6:$DH$128)</f>
        <v>0</v>
      </c>
      <c r="DI138" s="165">
        <f>SUMIF($E$6:$E$128,"510",$DI$6:$DI$128)</f>
        <v>114000000</v>
      </c>
      <c r="DJ138" s="165">
        <f>SUMIF($E$6:$E$128,"510",$DJ$6:$DJ$128)</f>
        <v>0</v>
      </c>
      <c r="DK138" s="165">
        <f>SUMIF($E$6:$E$128,"510",$DK$6:$DK$128)</f>
        <v>0</v>
      </c>
      <c r="DL138" s="165">
        <f>SUMIF($E$6:$E$128,"510",$DL$6:$DL$128)</f>
        <v>0</v>
      </c>
      <c r="DM138" s="165">
        <f>SUMIF($E$6:$E$128,"510",$DM$6:$DM$128)</f>
        <v>0</v>
      </c>
      <c r="DN138" s="165">
        <f>SUMIF($E$6:$E$128,"510",$DN$6:$DN$128)</f>
        <v>0</v>
      </c>
      <c r="DO138" s="165">
        <f>SUMIF($E$6:$E$128,"510",$DO$6:$DO$128)</f>
        <v>0</v>
      </c>
      <c r="DP138" s="168">
        <f>SUMIF($E$6:$E$128,"510",$DP$6:$DP$128)</f>
        <v>0</v>
      </c>
      <c r="DQ138" s="168">
        <f>SUMIF($E$6:$E$128,"510",$DQ$6:$DQ$128)</f>
        <v>2517643</v>
      </c>
      <c r="DR138" s="168">
        <f>SUMIF($E$6:$E$128,"510",$DR$6:$DR$128)</f>
        <v>0</v>
      </c>
      <c r="DS138" s="168">
        <f>SUMIF($E$6:$E$128,"510",$DS$6:$DS$128)</f>
        <v>0</v>
      </c>
      <c r="DT138" s="168">
        <f>SUMIF($E$6:$E$128,"510",$DT$6:$DT$128)</f>
        <v>0</v>
      </c>
      <c r="DU138" s="168">
        <f>SUMIF($E$6:$E$128,"510",$DU$6:$DU$128)</f>
        <v>0</v>
      </c>
      <c r="DV138" s="168">
        <f>SUMIF($E$6:$E$128,"510",$DV$6:$DV$128)</f>
        <v>66997830</v>
      </c>
      <c r="DW138" s="168">
        <f>SUMIF($E$6:$E$128,"510",$DW$6:$DW$128)</f>
        <v>48788345</v>
      </c>
      <c r="DX138" s="168">
        <f>SUMIF($E$6:$E$128,"510",$DX$6:$DX$128)</f>
        <v>21620413</v>
      </c>
      <c r="DY138" s="168">
        <f>SUMIF($E$6:$E$128,"510",$DY$6:$DY$128)</f>
        <v>0</v>
      </c>
      <c r="DZ138" s="168">
        <f>SUMIF($E$6:$E$128,"510",$DZ$6:$DZ$128)</f>
        <v>0</v>
      </c>
      <c r="EA138" s="168">
        <f>SUMIF($E$6:$E$128,"510",$EA$6:$EA$128)</f>
        <v>422607964</v>
      </c>
      <c r="EB138" s="168">
        <f>SUMIF($E$6:$E$128,"510",$EB$6:$EB$128)</f>
        <v>55602898</v>
      </c>
    </row>
    <row r="139" spans="1:132" x14ac:dyDescent="0.25">
      <c r="C139" s="171"/>
      <c r="D139" s="160" t="s">
        <v>374</v>
      </c>
      <c r="E139" s="153">
        <v>520</v>
      </c>
      <c r="F139" s="161"/>
      <c r="G139" s="162">
        <f ca="1">SUMIF($E$6:$G$129,"520",$G$6:$J$128)</f>
        <v>4269690683</v>
      </c>
      <c r="H139" s="163">
        <f ca="1">SUMIF($E$6:$H$129,"520",$H$6:$J$128)</f>
        <v>6393503250</v>
      </c>
      <c r="I139" s="163">
        <f ca="1">SUMIF($E$6:$I$129,"520",$I$6:$J$128)</f>
        <v>2123812567</v>
      </c>
      <c r="J139" s="162">
        <f>SUMIF($E$6:$E$128,"520",$J$6:$J$128)</f>
        <v>0</v>
      </c>
      <c r="K139" s="162">
        <f>SUMIF($E$6:$E$128,"520",$K$6:$K$128)</f>
        <v>1085174278</v>
      </c>
      <c r="L139" s="162">
        <f>SUMIF($E$6:$E$129,"520",$L$6:$L$129)</f>
        <v>0</v>
      </c>
      <c r="M139" s="162">
        <f>SUMIF($E$6:$E$129,"520",$M$6:$M$129)</f>
        <v>0</v>
      </c>
      <c r="N139" s="164">
        <f>SUMIF($E$6:$E$128,"520",$N$6:$N$128)</f>
        <v>0</v>
      </c>
      <c r="O139" s="161">
        <f>SUMIF($E$6:$E$128,"520",$O$6:$O$128)</f>
        <v>167645552</v>
      </c>
      <c r="P139" s="161">
        <f>SUMIF($E$6:$E$128,"520",$P$6:$P$128)</f>
        <v>0</v>
      </c>
      <c r="Q139" s="161">
        <f>SUMIF($E$6:$E$128,"520",$Q$6:$Q$128)</f>
        <v>0</v>
      </c>
      <c r="R139" s="161">
        <f>SUMIF($E$6:$E$128,"520",$R$6:$R$128)</f>
        <v>0</v>
      </c>
      <c r="S139" s="161">
        <f>SUMIF($E$6:$E$128,"520",$S$6:$S$128)</f>
        <v>0</v>
      </c>
      <c r="T139" s="161">
        <f>SUMIF($E$6:$E$128,"520",$T$6:$T$128)</f>
        <v>0</v>
      </c>
      <c r="U139" s="161">
        <f>SUMIF($E$6:$E$128,"520",$U$6:$U$128)</f>
        <v>0</v>
      </c>
      <c r="V139" s="161">
        <f>SUMIF($E$6:$E$128,"520",$V$6:$V$128)</f>
        <v>0</v>
      </c>
      <c r="W139" s="161">
        <f>SUMIF($E$6:$E$128,"520",$W$6:$W$128)</f>
        <v>0</v>
      </c>
      <c r="X139" s="161">
        <f>SUMIF($E$6:$E$128,"520",$X$6:$X$128)</f>
        <v>0</v>
      </c>
      <c r="Y139" s="161">
        <f>SUMIF($E$6:$E$128,"520",$Y$6:$Y$128)</f>
        <v>1374625000</v>
      </c>
      <c r="Z139" s="161">
        <f>SUMIF($E$6:$E$128,"520",$Z$6:$Z$128)</f>
        <v>0</v>
      </c>
      <c r="AA139" s="161">
        <f>SUMIF($E$6:$E$128,"520",$AA$6:$AA$128)</f>
        <v>427766866</v>
      </c>
      <c r="AB139" s="161">
        <f>SUMIF($E$6:$E$128,"520",$AB$6:$AB$128)</f>
        <v>197412271</v>
      </c>
      <c r="AC139" s="161">
        <f>SUMIF($E$6:$E$105,"520",$AC$6:$AC$105)</f>
        <v>0</v>
      </c>
      <c r="AD139" s="161"/>
      <c r="AE139" s="161">
        <f>SUMIF($E$6:$E$128,"520",$AE$6:$AE$128)</f>
        <v>0</v>
      </c>
      <c r="AF139" s="161">
        <f>SUMIF($E$6:$E$128,"520",$AF$6:$AF$128)</f>
        <v>1017066716</v>
      </c>
      <c r="AG139" s="46">
        <f t="shared" ca="1" si="100"/>
        <v>0.92693796128088279</v>
      </c>
      <c r="AH139" s="164">
        <f>SUMIF($E$6:$E$128,"520",$AH$6:$AH$128)</f>
        <v>3957738377</v>
      </c>
      <c r="AI139" s="164">
        <f>SUMIF($E$6:$E$128,"520",$AI$6:$AI$128)</f>
        <v>0</v>
      </c>
      <c r="AJ139" s="164">
        <f>SUMIF($E$6:$E$128,"520",$AJ$6:$AJ$128)</f>
        <v>999215575</v>
      </c>
      <c r="AK139" s="164">
        <f>SUMIF($E$6:$E$128,"520",$AK$6:$AK$128)</f>
        <v>0</v>
      </c>
      <c r="AL139" s="164">
        <f>SUMIF($E$6:$E$128,"520",$AL$6:$AL$128)</f>
        <v>0</v>
      </c>
      <c r="AM139" s="164">
        <f>SUMIF($E$6:$E$128,"520",$AM$6:$AM$128)</f>
        <v>0</v>
      </c>
      <c r="AN139" s="164">
        <f>SUMIF($E$6:$E$128,"520",$AN$6:$AN$128)</f>
        <v>155819660</v>
      </c>
      <c r="AO139" s="164">
        <f>SUMIF($E$6:$E$128,"520",$AO$6:$AO$128)</f>
        <v>0</v>
      </c>
      <c r="AP139" s="164">
        <f>SUMIF($E$6:$E$128,"520",$AP$6:$AP$128)</f>
        <v>0</v>
      </c>
      <c r="AQ139" s="164">
        <f>SUMIF($E$6:$E$128,"520",$AQ$6:$AQ$128)</f>
        <v>0</v>
      </c>
      <c r="AR139" s="164">
        <f>SUMIF($E$6:$E$128,"520",$AR$6:$AR$128)</f>
        <v>0</v>
      </c>
      <c r="AS139" s="164">
        <f>SUMIF($E$6:$E$128,"520",$AS$6:$AS$128)</f>
        <v>0</v>
      </c>
      <c r="AT139" s="164">
        <f>SUMIF($E$6:$E$128,"520",$AT$6:$AT$128)</f>
        <v>0</v>
      </c>
      <c r="AU139" s="164">
        <f>SUMIF($E$6:$E$128,"520",$AU$6:$AU$128)</f>
        <v>0</v>
      </c>
      <c r="AV139" s="164">
        <f>SUMIF($E$6:$E$128,"520",$AV$6:$AV$128)</f>
        <v>0</v>
      </c>
      <c r="AW139" s="164">
        <f>SUMIF($E$6:$E$128,"520",$AW$6:$AW$128)</f>
        <v>0</v>
      </c>
      <c r="AX139" s="164">
        <f>SUMIF($E$6:$E$128,"520",$AX$6:$AX$128)</f>
        <v>1367983008</v>
      </c>
      <c r="AY139" s="164">
        <f>SUMIF($E$6:$E$128,"520",$AY$6:$AY$128)</f>
        <v>0</v>
      </c>
      <c r="AZ139" s="164">
        <f>SUMIF($E$6:$E$128,"520",$AZ$6:$AZ$128)</f>
        <v>338055304</v>
      </c>
      <c r="BA139" s="164">
        <f>SUMIF($E$6:$E$128,"520",$BA$6:$BA$128)</f>
        <v>197412270</v>
      </c>
      <c r="BB139" s="164">
        <f>SUMIF($E$6:$E$128,"520",$BB$6:$BB$128)</f>
        <v>0</v>
      </c>
      <c r="BC139" s="164">
        <f>SUMIF($E$6:$E$128,"520",$BC$6:$BC$128)</f>
        <v>0</v>
      </c>
      <c r="BD139" s="164">
        <f>SUMIF($E$6:$E$128,"520",$BD$6:$BD$128)</f>
        <v>0</v>
      </c>
      <c r="BE139" s="164">
        <f>SUMIF($E$6:$E$128,"520",$BE$6:$BE$128)</f>
        <v>899252560</v>
      </c>
      <c r="BF139" s="146">
        <f t="shared" ca="1" si="101"/>
        <v>7.3062038719117206E-2</v>
      </c>
      <c r="BG139" s="49">
        <f t="shared" si="102"/>
        <v>311952306</v>
      </c>
      <c r="BH139" s="165">
        <f>SUMIF($E$6:$E$128,"520",$BH$6:$BH$128)</f>
        <v>0</v>
      </c>
      <c r="BI139" s="165">
        <f>SUMIF($E$6:$E$128,"520",$BI$6:$BI$128)</f>
        <v>85958703</v>
      </c>
      <c r="BJ139" s="165">
        <f>SUMIF($E$6:$E$128,"520",$BJ$6:$BJ$128)</f>
        <v>0</v>
      </c>
      <c r="BK139" s="165">
        <f>SUMIF($E$6:$E$128,"520",$BK$6:$BK$128)</f>
        <v>0</v>
      </c>
      <c r="BL139" s="165">
        <f>SUMIF($E$6:$E$128,"520",$BL$6:$BL$128)</f>
        <v>0</v>
      </c>
      <c r="BM139" s="165">
        <f>SUMIF($E$6:$E$128,"520",$BM$6:$BM$128)</f>
        <v>11825892</v>
      </c>
      <c r="BN139" s="165">
        <f>SUMIF($E$6:$E$128,"520",$BN$6:$BN$128)</f>
        <v>0</v>
      </c>
      <c r="BO139" s="165">
        <f>SUMIF($E$6:$E$128,"520",$BO$6:$BO$128)</f>
        <v>0</v>
      </c>
      <c r="BP139" s="165">
        <f>SUMIF($E$6:$E$128,"520",$BP$6:$BP$128)</f>
        <v>0</v>
      </c>
      <c r="BQ139" s="165">
        <f>SUMIF($E$6:$E$128,"520",$BQ$6:$BQ$128)</f>
        <v>0</v>
      </c>
      <c r="BR139" s="165">
        <f>SUMIF($E$6:$E$128,"520",$BR$6:$BR$128)</f>
        <v>0</v>
      </c>
      <c r="BS139" s="165">
        <f>SUMIF($E$6:$E$128,"520",$BS$6:$BS$128)</f>
        <v>0</v>
      </c>
      <c r="BT139" s="165">
        <f>SUMIF($E$6:$E$128,"520",$BT$6:$BT$128)</f>
        <v>0</v>
      </c>
      <c r="BU139" s="165">
        <f>SUMIF($E$6:$E$128,"520",$BU$6:$BU$128)</f>
        <v>0</v>
      </c>
      <c r="BV139" s="165">
        <f>SUMIF($E$6:$E$128,"520",$BV$6:$BV$128)</f>
        <v>0</v>
      </c>
      <c r="BW139" s="165">
        <f>SUMIF($E$6:$E$128,"520",$BW$6:$BW$128)</f>
        <v>6641992</v>
      </c>
      <c r="BX139" s="165">
        <f>SUMIF($E$6:$E$128,"520",$BX$6:$BX$128)</f>
        <v>0</v>
      </c>
      <c r="BY139" s="165">
        <f>SUMIF($E$6:$E$128,"520",$BY$6:$BY$128)</f>
        <v>89711562</v>
      </c>
      <c r="BZ139" s="165">
        <f>SUMIF($E$6:$E$128,"520",$BZ$6:$BZ$128)</f>
        <v>1</v>
      </c>
      <c r="CA139" s="165">
        <f>SUMIF($E$6:$E$128,"520",$CA$6:$CA$128)</f>
        <v>0</v>
      </c>
      <c r="CB139" s="165">
        <f>SUMIF($E$6:$E$128,"520",$CB$6:$CB$128)</f>
        <v>0</v>
      </c>
      <c r="CC139" s="165">
        <f>SUMIF($E$6:$E$128,"520",$CC$6:$CC$128)</f>
        <v>0</v>
      </c>
      <c r="CD139" s="166">
        <f>SUMIF($E$6:$E$128,"520",$CD$6:$CD$128)</f>
        <v>117814156</v>
      </c>
      <c r="CE139" s="46">
        <f t="shared" ca="1" si="103"/>
        <v>0.80563346724290097</v>
      </c>
      <c r="CF139" s="49">
        <f t="shared" si="104"/>
        <v>3439805709</v>
      </c>
      <c r="CG139" s="164">
        <f>SUMIF($E$6:$E$128,"520",$CG$6:$CG$128)</f>
        <v>0</v>
      </c>
      <c r="CH139" s="164">
        <f>SUMIF($E$6:$E$128,"520",$CH$6:$CH$128)</f>
        <v>923147182</v>
      </c>
      <c r="CI139" s="164">
        <f>SUMIF($E$6:$E$128,"520",$CI$6:$CI$128)</f>
        <v>0</v>
      </c>
      <c r="CJ139" s="164">
        <f>SUMIF($E$6:$E$128,"520",$CJ$6:$CJ$128)</f>
        <v>0</v>
      </c>
      <c r="CK139" s="164">
        <f>SUMIF($E$6:$E$128,"520",$CK$6:$CK$128)</f>
        <v>0</v>
      </c>
      <c r="CL139" s="164">
        <f>SUMIF($E$6:$E$128,"520",$CL$6:$CL$128)</f>
        <v>121783331</v>
      </c>
      <c r="CM139" s="164">
        <f>SUMIF($E$6:$E$128,"520",$CM$6:$CM$128)</f>
        <v>0</v>
      </c>
      <c r="CN139" s="164">
        <f>SUMIF($E$6:$E$128,"520",$CN$6:$CN$128)</f>
        <v>0</v>
      </c>
      <c r="CO139" s="164">
        <f>SUMIF($E$6:$E$128,"520",$CO$6:$CO$128)</f>
        <v>0</v>
      </c>
      <c r="CP139" s="164">
        <f>SUMIF($E$6:$E$128,"520",$CP$6:$CP$128)</f>
        <v>0</v>
      </c>
      <c r="CQ139" s="164">
        <f>SUMIF($E$6:$E$128,"520",$CQ$6:$CQ$128)</f>
        <v>0</v>
      </c>
      <c r="CR139" s="164">
        <f>SUMIF($E$6:$E$128,"520",$CR$6:$CR$128)</f>
        <v>0</v>
      </c>
      <c r="CS139" s="164">
        <f>SUMIF($E$6:$E$128,"520",$CS$6:$CS$128)</f>
        <v>0</v>
      </c>
      <c r="CT139" s="164">
        <f>SUMIF($E$6:$E$128,"520",$CT$6:$CT$128)</f>
        <v>0</v>
      </c>
      <c r="CU139" s="164">
        <f>SUMIF($E$6:$E$128,"520",$CU$6:$CU$128)</f>
        <v>0</v>
      </c>
      <c r="CV139" s="164">
        <f>SUMIF($E$6:$E$128,"520",$CV$6:$CV$128)</f>
        <v>1175342062</v>
      </c>
      <c r="CW139" s="164">
        <f>SUMIF($E$6:$E$128,"520",$CW$6:$CW$128)</f>
        <v>0</v>
      </c>
      <c r="CX139" s="164">
        <f>SUMIF($E$6:$E$128,"520",$CX$6:$CX$128)</f>
        <v>217639643</v>
      </c>
      <c r="CY139" s="164">
        <f>SUMIF($E$6:$E$128,"520",$CY$6:$CY$128)</f>
        <v>172510944</v>
      </c>
      <c r="CZ139" s="164">
        <f>SUMIF($E$6:$E$128,"520",$CZ$6:$CZ$128)</f>
        <v>0</v>
      </c>
      <c r="DA139" s="164">
        <f>SUMIF($E$6:$E$128,"520",$DA$6:$DA$128)</f>
        <v>0</v>
      </c>
      <c r="DB139" s="164">
        <f>SUMIF($E$6:$E$128,"520",$DB$6:$DB$128)</f>
        <v>0</v>
      </c>
      <c r="DC139" s="167">
        <f>SUMIF($E$6:$E$128,"520",$DC$6:$DC$128)</f>
        <v>829382547</v>
      </c>
      <c r="DD139" s="46">
        <f t="shared" ca="1" si="105"/>
        <v>0.19436653275709903</v>
      </c>
      <c r="DE139" s="49">
        <f t="shared" si="106"/>
        <v>829884974</v>
      </c>
      <c r="DF139" s="165">
        <f>SUMIF($E$6:$E$128,"520",$DF$6:$DF$128)</f>
        <v>0</v>
      </c>
      <c r="DG139" s="165">
        <f>SUMIF($E$6:$E$128,"520",$DG$6:$DG$128)</f>
        <v>162027096</v>
      </c>
      <c r="DH139" s="165">
        <f>SUMIF($E$6:$E$128,"520",$DH$6:$DH$128)</f>
        <v>0</v>
      </c>
      <c r="DI139" s="165">
        <f>SUMIF($E$6:$E$128,"520",$DI$6:$DI$128)</f>
        <v>0</v>
      </c>
      <c r="DJ139" s="165">
        <f>SUMIF($E$6:$E$128,"520",$DJ$6:$DJ$128)</f>
        <v>0</v>
      </c>
      <c r="DK139" s="165">
        <f>SUMIF($E$6:$E$128,"520",$DK$6:$DK$128)</f>
        <v>45862221</v>
      </c>
      <c r="DL139" s="165">
        <f>SUMIF($E$6:$E$128,"520",$DL$6:$DL$128)</f>
        <v>0</v>
      </c>
      <c r="DM139" s="165">
        <f>SUMIF($E$6:$E$128,"520",$DM$6:$DM$128)</f>
        <v>0</v>
      </c>
      <c r="DN139" s="165">
        <f>SUMIF($E$6:$E$128,"520",$DN$6:$DN$128)</f>
        <v>0</v>
      </c>
      <c r="DO139" s="165">
        <f>SUMIF($E$6:$E$128,"520",$DO$6:$DO$128)</f>
        <v>0</v>
      </c>
      <c r="DP139" s="168">
        <f>SUMIF($E$6:$E$128,"520",$DP$6:$DP$128)</f>
        <v>0</v>
      </c>
      <c r="DQ139" s="168">
        <f>SUMIF($E$6:$E$128,"520",$DQ$6:$DQ$128)</f>
        <v>0</v>
      </c>
      <c r="DR139" s="168">
        <f>SUMIF($E$6:$E$128,"520",$DR$6:$DR$128)</f>
        <v>0</v>
      </c>
      <c r="DS139" s="168">
        <f>SUMIF($E$6:$E$128,"520",$DS$6:$DS$128)</f>
        <v>0</v>
      </c>
      <c r="DT139" s="168">
        <f>SUMIF($E$6:$E$128,"520",$DT$6:$DT$128)</f>
        <v>0</v>
      </c>
      <c r="DU139" s="168">
        <f>SUMIF($E$6:$E$128,"520",$DU$6:$DU$128)</f>
        <v>199282938</v>
      </c>
      <c r="DV139" s="168">
        <f>SUMIF($E$6:$E$128,"520",$DV$6:$DV$128)</f>
        <v>0</v>
      </c>
      <c r="DW139" s="168">
        <f>SUMIF($E$6:$E$128,"520",$DW$6:$DW$128)</f>
        <v>210127223</v>
      </c>
      <c r="DX139" s="168">
        <f>SUMIF($E$6:$E$128,"520",$DX$6:$DX$128)</f>
        <v>24901327</v>
      </c>
      <c r="DY139" s="168">
        <f>SUMIF($E$6:$E$128,"520",$DY$6:$DY$128)</f>
        <v>0</v>
      </c>
      <c r="DZ139" s="168">
        <f>SUMIF($E$6:$E$128,"520",$DZ$6:$DZ$128)</f>
        <v>0</v>
      </c>
      <c r="EA139" s="168">
        <f>SUMIF($E$6:$E$128,"520",$EA$6:$EA$128)</f>
        <v>0</v>
      </c>
      <c r="EB139" s="168">
        <f>SUMIF($E$6:$E$128,"520",$EB$6:$EB$128)</f>
        <v>187684169</v>
      </c>
    </row>
    <row r="140" spans="1:132" ht="15.75" thickBot="1" x14ac:dyDescent="0.3">
      <c r="C140" s="173" t="s">
        <v>375</v>
      </c>
      <c r="D140" s="174"/>
      <c r="E140" s="175"/>
      <c r="F140" s="176"/>
      <c r="G140" s="177">
        <f ca="1">SUM(G133:G139)</f>
        <v>47285614871</v>
      </c>
      <c r="H140" s="178">
        <f t="shared" ref="H140:AF140" ca="1" si="107">SUM(H133:H139)</f>
        <v>37326786386</v>
      </c>
      <c r="I140" s="178">
        <f t="shared" ca="1" si="107"/>
        <v>-9958828485</v>
      </c>
      <c r="J140" s="177">
        <f t="shared" si="107"/>
        <v>2422439838</v>
      </c>
      <c r="K140" s="177">
        <f t="shared" si="107"/>
        <v>3721535284</v>
      </c>
      <c r="L140" s="177">
        <f t="shared" si="107"/>
        <v>24243035</v>
      </c>
      <c r="M140" s="177">
        <f t="shared" si="107"/>
        <v>9772000888</v>
      </c>
      <c r="N140" s="177">
        <f t="shared" si="107"/>
        <v>6856843769</v>
      </c>
      <c r="O140" s="177">
        <f t="shared" si="107"/>
        <v>167645552</v>
      </c>
      <c r="P140" s="177">
        <f t="shared" si="107"/>
        <v>212423035</v>
      </c>
      <c r="Q140" s="177">
        <f t="shared" si="107"/>
        <v>4066423197</v>
      </c>
      <c r="R140" s="177">
        <f t="shared" si="107"/>
        <v>668465994</v>
      </c>
      <c r="S140" s="177">
        <f t="shared" si="107"/>
        <v>626546789</v>
      </c>
      <c r="T140" s="177">
        <f>SUM(T133:T139)</f>
        <v>764044263</v>
      </c>
      <c r="U140" s="179">
        <f t="shared" si="107"/>
        <v>709673874</v>
      </c>
      <c r="V140" s="179">
        <f t="shared" si="107"/>
        <v>201867582</v>
      </c>
      <c r="W140" s="177">
        <f t="shared" si="107"/>
        <v>690751605</v>
      </c>
      <c r="X140" s="179">
        <f t="shared" si="107"/>
        <v>436609040</v>
      </c>
      <c r="Y140" s="177">
        <f t="shared" si="107"/>
        <v>4234779075</v>
      </c>
      <c r="Z140" s="177">
        <f t="shared" si="107"/>
        <v>1208521042</v>
      </c>
      <c r="AA140" s="177">
        <f t="shared" si="107"/>
        <v>3653080573</v>
      </c>
      <c r="AB140" s="177">
        <f t="shared" si="107"/>
        <v>896735515</v>
      </c>
      <c r="AC140" s="177">
        <f t="shared" si="107"/>
        <v>1853354458</v>
      </c>
      <c r="AD140" s="177">
        <f t="shared" si="107"/>
        <v>475996742</v>
      </c>
      <c r="AE140" s="177">
        <f t="shared" si="107"/>
        <v>547409151</v>
      </c>
      <c r="AF140" s="177">
        <f t="shared" si="107"/>
        <v>3074224570</v>
      </c>
      <c r="AG140" s="180">
        <f t="shared" ca="1" si="100"/>
        <v>0.68886984417701258</v>
      </c>
      <c r="AH140" s="181">
        <f t="shared" ref="AH140:BE140" si="108">SUM(AH133:AH139)</f>
        <v>32573634148</v>
      </c>
      <c r="AI140" s="181">
        <f t="shared" si="108"/>
        <v>1215982245</v>
      </c>
      <c r="AJ140" s="181">
        <f t="shared" si="108"/>
        <v>3257878420</v>
      </c>
      <c r="AK140" s="181">
        <f t="shared" si="108"/>
        <v>2000000</v>
      </c>
      <c r="AL140" s="181">
        <f t="shared" si="108"/>
        <v>3989285892</v>
      </c>
      <c r="AM140" s="181">
        <f t="shared" si="108"/>
        <v>6855066956</v>
      </c>
      <c r="AN140" s="181">
        <f t="shared" si="108"/>
        <v>155819660</v>
      </c>
      <c r="AO140" s="181">
        <f t="shared" si="108"/>
        <v>100000000</v>
      </c>
      <c r="AP140" s="181">
        <f t="shared" si="108"/>
        <v>2769764971</v>
      </c>
      <c r="AQ140" s="181">
        <f t="shared" si="108"/>
        <v>58183470</v>
      </c>
      <c r="AR140" s="181">
        <f t="shared" si="108"/>
        <v>107981429</v>
      </c>
      <c r="AS140" s="181">
        <f t="shared" si="108"/>
        <v>376515468</v>
      </c>
      <c r="AT140" s="181">
        <f t="shared" si="108"/>
        <v>372157846</v>
      </c>
      <c r="AU140" s="181">
        <f t="shared" si="108"/>
        <v>47237313</v>
      </c>
      <c r="AV140" s="181">
        <f t="shared" si="108"/>
        <v>51651000</v>
      </c>
      <c r="AW140" s="181">
        <f t="shared" si="108"/>
        <v>370776495</v>
      </c>
      <c r="AX140" s="181">
        <f t="shared" si="108"/>
        <v>3784780270</v>
      </c>
      <c r="AY140" s="181">
        <f t="shared" si="108"/>
        <v>1039845000</v>
      </c>
      <c r="AZ140" s="181">
        <f t="shared" si="108"/>
        <v>2618218341</v>
      </c>
      <c r="BA140" s="181">
        <f t="shared" si="108"/>
        <v>858292098</v>
      </c>
      <c r="BB140" s="181">
        <f t="shared" si="108"/>
        <v>1102823138</v>
      </c>
      <c r="BC140" s="181">
        <f t="shared" si="108"/>
        <v>467767409</v>
      </c>
      <c r="BD140" s="181">
        <f t="shared" si="108"/>
        <v>547409151</v>
      </c>
      <c r="BE140" s="181">
        <f t="shared" si="108"/>
        <v>2424197576</v>
      </c>
      <c r="BF140" s="182">
        <f t="shared" ca="1" si="101"/>
        <v>0.31113015582298742</v>
      </c>
      <c r="BG140" s="181">
        <f t="shared" ref="BG140:CD140" si="109">SUM(BG133:BG139)</f>
        <v>14711980723</v>
      </c>
      <c r="BH140" s="181">
        <f t="shared" si="109"/>
        <v>1206457593</v>
      </c>
      <c r="BI140" s="181">
        <f t="shared" si="109"/>
        <v>463656864</v>
      </c>
      <c r="BJ140" s="181">
        <f t="shared" si="109"/>
        <v>22243035</v>
      </c>
      <c r="BK140" s="181">
        <f t="shared" si="109"/>
        <v>5782714996</v>
      </c>
      <c r="BL140" s="181">
        <f t="shared" si="109"/>
        <v>1776813</v>
      </c>
      <c r="BM140" s="181">
        <f t="shared" si="109"/>
        <v>11825892</v>
      </c>
      <c r="BN140" s="181">
        <f t="shared" si="109"/>
        <v>112423035</v>
      </c>
      <c r="BO140" s="181">
        <f t="shared" si="109"/>
        <v>1296658226</v>
      </c>
      <c r="BP140" s="181">
        <f t="shared" si="109"/>
        <v>610282524</v>
      </c>
      <c r="BQ140" s="181">
        <f t="shared" si="109"/>
        <v>518565360</v>
      </c>
      <c r="BR140" s="181">
        <f t="shared" si="109"/>
        <v>387528795</v>
      </c>
      <c r="BS140" s="181">
        <f t="shared" si="109"/>
        <v>337516028</v>
      </c>
      <c r="BT140" s="181">
        <f t="shared" si="109"/>
        <v>154630269</v>
      </c>
      <c r="BU140" s="181">
        <f t="shared" si="109"/>
        <v>639100605</v>
      </c>
      <c r="BV140" s="181">
        <f t="shared" si="109"/>
        <v>65832545</v>
      </c>
      <c r="BW140" s="181">
        <f t="shared" si="109"/>
        <v>449998805</v>
      </c>
      <c r="BX140" s="181">
        <f t="shared" si="109"/>
        <v>168676042</v>
      </c>
      <c r="BY140" s="181">
        <f t="shared" si="109"/>
        <v>1034862232</v>
      </c>
      <c r="BZ140" s="181">
        <f t="shared" si="109"/>
        <v>38443417</v>
      </c>
      <c r="CA140" s="181">
        <f t="shared" si="109"/>
        <v>750531320</v>
      </c>
      <c r="CB140" s="181">
        <f t="shared" si="109"/>
        <v>8229333</v>
      </c>
      <c r="CC140" s="181">
        <f t="shared" si="109"/>
        <v>0</v>
      </c>
      <c r="CD140" s="181">
        <f t="shared" si="109"/>
        <v>650026994</v>
      </c>
      <c r="CE140" s="46">
        <f t="shared" ca="1" si="103"/>
        <v>0.49531354715161147</v>
      </c>
      <c r="CF140" s="183">
        <f t="shared" ref="CF140:DC140" si="110">SUM(CF133:CF139)</f>
        <v>23421205631</v>
      </c>
      <c r="CG140" s="183">
        <f t="shared" si="110"/>
        <v>775200465</v>
      </c>
      <c r="CH140" s="183">
        <f t="shared" si="110"/>
        <v>2774333262</v>
      </c>
      <c r="CI140" s="183">
        <f t="shared" si="110"/>
        <v>2000000</v>
      </c>
      <c r="CJ140" s="183">
        <f t="shared" si="110"/>
        <v>1003224486</v>
      </c>
      <c r="CK140" s="183">
        <f t="shared" si="110"/>
        <v>6855066956</v>
      </c>
      <c r="CL140" s="183">
        <f t="shared" si="110"/>
        <v>121783331</v>
      </c>
      <c r="CM140" s="183">
        <f t="shared" si="110"/>
        <v>100000000</v>
      </c>
      <c r="CN140" s="183">
        <f t="shared" si="110"/>
        <v>2190412835</v>
      </c>
      <c r="CO140" s="183">
        <f t="shared" si="110"/>
        <v>20074931</v>
      </c>
      <c r="CP140" s="183">
        <f t="shared" si="110"/>
        <v>21592891</v>
      </c>
      <c r="CQ140" s="183">
        <f t="shared" si="110"/>
        <v>12174526</v>
      </c>
      <c r="CR140" s="183">
        <f t="shared" si="110"/>
        <v>348974049</v>
      </c>
      <c r="CS140" s="183">
        <f t="shared" si="110"/>
        <v>0</v>
      </c>
      <c r="CT140" s="183">
        <f t="shared" si="110"/>
        <v>42007000</v>
      </c>
      <c r="CU140" s="183">
        <f t="shared" si="110"/>
        <v>7513999</v>
      </c>
      <c r="CV140" s="183">
        <f t="shared" si="110"/>
        <v>3157609557</v>
      </c>
      <c r="CW140" s="183">
        <f t="shared" si="110"/>
        <v>778566385</v>
      </c>
      <c r="CX140" s="183">
        <f t="shared" si="110"/>
        <v>1737994924</v>
      </c>
      <c r="CY140" s="183">
        <f t="shared" si="110"/>
        <v>496337204</v>
      </c>
      <c r="CZ140" s="183">
        <f t="shared" si="110"/>
        <v>829578631</v>
      </c>
      <c r="DA140" s="183">
        <f t="shared" si="110"/>
        <v>311472790</v>
      </c>
      <c r="DB140" s="183">
        <f t="shared" si="110"/>
        <v>44817066</v>
      </c>
      <c r="DC140" s="183">
        <f t="shared" si="110"/>
        <v>1790470343</v>
      </c>
      <c r="DD140" s="180">
        <f t="shared" ca="1" si="105"/>
        <v>0.50468645284838853</v>
      </c>
      <c r="DE140" s="177">
        <f t="shared" ref="DE140:EB140" ca="1" si="111">SUM(DE133:DE139)</f>
        <v>23864409240</v>
      </c>
      <c r="DF140" s="177">
        <f t="shared" ca="1" si="111"/>
        <v>1647239373</v>
      </c>
      <c r="DG140" s="177">
        <f t="shared" si="111"/>
        <v>947202022</v>
      </c>
      <c r="DH140" s="177">
        <f t="shared" si="111"/>
        <v>22243035</v>
      </c>
      <c r="DI140" s="177">
        <f t="shared" si="111"/>
        <v>8768776402</v>
      </c>
      <c r="DJ140" s="177">
        <f t="shared" si="111"/>
        <v>1776813</v>
      </c>
      <c r="DK140" s="177">
        <f t="shared" si="111"/>
        <v>45862221</v>
      </c>
      <c r="DL140" s="177">
        <f t="shared" si="111"/>
        <v>112423035</v>
      </c>
      <c r="DM140" s="177">
        <f t="shared" si="111"/>
        <v>1876010362</v>
      </c>
      <c r="DN140" s="177">
        <f t="shared" si="111"/>
        <v>648391063</v>
      </c>
      <c r="DO140" s="177">
        <f t="shared" si="111"/>
        <v>604953898</v>
      </c>
      <c r="DP140" s="177">
        <f t="shared" si="111"/>
        <v>751869737</v>
      </c>
      <c r="DQ140" s="177">
        <f t="shared" si="111"/>
        <v>360699825</v>
      </c>
      <c r="DR140" s="177">
        <f t="shared" si="111"/>
        <v>201867582</v>
      </c>
      <c r="DS140" s="177">
        <f t="shared" si="111"/>
        <v>648744605</v>
      </c>
      <c r="DT140" s="177">
        <f t="shared" si="111"/>
        <v>429095041</v>
      </c>
      <c r="DU140" s="177">
        <f t="shared" si="111"/>
        <v>1077169518</v>
      </c>
      <c r="DV140" s="177">
        <f t="shared" si="111"/>
        <v>429954657</v>
      </c>
      <c r="DW140" s="177">
        <f t="shared" si="111"/>
        <v>1915085649</v>
      </c>
      <c r="DX140" s="177">
        <f t="shared" si="111"/>
        <v>400398311</v>
      </c>
      <c r="DY140" s="177">
        <f t="shared" si="111"/>
        <v>1023775827</v>
      </c>
      <c r="DZ140" s="177">
        <f t="shared" si="111"/>
        <v>164523952</v>
      </c>
      <c r="EA140" s="177">
        <f t="shared" si="111"/>
        <v>502592085</v>
      </c>
      <c r="EB140" s="177">
        <f t="shared" si="111"/>
        <v>1283754227</v>
      </c>
    </row>
    <row r="141" spans="1:132" ht="15.75" thickTop="1" x14ac:dyDescent="0.25">
      <c r="G141" s="86">
        <f ca="1">G131-G140</f>
        <v>0</v>
      </c>
      <c r="H141" s="86">
        <f t="shared" ref="H141:V141" ca="1" si="112">H131-H140</f>
        <v>0</v>
      </c>
      <c r="I141" s="86">
        <f t="shared" ca="1" si="112"/>
        <v>0</v>
      </c>
      <c r="J141" s="86">
        <f t="shared" si="112"/>
        <v>0</v>
      </c>
      <c r="K141" s="86">
        <f t="shared" si="112"/>
        <v>0</v>
      </c>
      <c r="L141" s="86">
        <f t="shared" si="112"/>
        <v>0</v>
      </c>
      <c r="M141" s="86">
        <f t="shared" si="112"/>
        <v>0</v>
      </c>
      <c r="N141" s="86">
        <f t="shared" si="112"/>
        <v>0</v>
      </c>
      <c r="O141" s="86">
        <f t="shared" si="112"/>
        <v>0</v>
      </c>
      <c r="P141" s="86">
        <f t="shared" si="112"/>
        <v>0</v>
      </c>
      <c r="Q141" s="86">
        <f t="shared" si="112"/>
        <v>0</v>
      </c>
      <c r="R141" s="86">
        <f t="shared" si="112"/>
        <v>0</v>
      </c>
      <c r="S141" s="86">
        <f t="shared" si="112"/>
        <v>0</v>
      </c>
      <c r="T141" s="86">
        <f t="shared" si="112"/>
        <v>0</v>
      </c>
      <c r="U141" s="86">
        <f t="shared" si="112"/>
        <v>0</v>
      </c>
      <c r="V141" s="86">
        <f t="shared" si="112"/>
        <v>0</v>
      </c>
      <c r="W141" s="86">
        <f>W131-W140</f>
        <v>0</v>
      </c>
      <c r="X141" s="86">
        <f t="shared" ref="X141:AF141" si="113">X131-X140</f>
        <v>0</v>
      </c>
      <c r="Y141" s="86">
        <f t="shared" si="113"/>
        <v>0</v>
      </c>
      <c r="Z141" s="86">
        <f t="shared" si="113"/>
        <v>0</v>
      </c>
      <c r="AA141" s="86">
        <f t="shared" si="113"/>
        <v>0</v>
      </c>
      <c r="AB141" s="86">
        <f t="shared" si="113"/>
        <v>0</v>
      </c>
      <c r="AC141" s="86">
        <f t="shared" si="113"/>
        <v>0</v>
      </c>
      <c r="AD141" s="86">
        <f t="shared" si="113"/>
        <v>0</v>
      </c>
      <c r="AE141" s="86">
        <f t="shared" si="113"/>
        <v>0</v>
      </c>
      <c r="AF141" s="86">
        <f t="shared" si="113"/>
        <v>0</v>
      </c>
      <c r="AH141" s="86">
        <f>+AH131-AH140</f>
        <v>0</v>
      </c>
      <c r="AI141" s="86">
        <f>+AI131-AI140</f>
        <v>0</v>
      </c>
      <c r="AJ141" s="86">
        <f>+AJ131-AJ140</f>
        <v>0</v>
      </c>
      <c r="AK141" s="86">
        <f>+AK131-AK140</f>
        <v>0</v>
      </c>
      <c r="AL141" s="86">
        <f>+AL131-AL140</f>
        <v>0</v>
      </c>
      <c r="AM141" s="86">
        <f t="shared" ref="AM141:BE141" si="114">+AM131-AM140</f>
        <v>0</v>
      </c>
      <c r="AN141" s="86">
        <f t="shared" si="114"/>
        <v>0</v>
      </c>
      <c r="AO141" s="86">
        <f t="shared" si="114"/>
        <v>0</v>
      </c>
      <c r="AP141" s="86">
        <f t="shared" si="114"/>
        <v>0</v>
      </c>
      <c r="AQ141" s="86">
        <f t="shared" si="114"/>
        <v>0</v>
      </c>
      <c r="AR141" s="86">
        <f t="shared" si="114"/>
        <v>0</v>
      </c>
      <c r="AS141" s="86">
        <f t="shared" si="114"/>
        <v>0</v>
      </c>
      <c r="AT141" s="86">
        <f t="shared" si="114"/>
        <v>0</v>
      </c>
      <c r="AU141" s="86">
        <f t="shared" si="114"/>
        <v>0</v>
      </c>
      <c r="AV141" s="86">
        <f t="shared" si="114"/>
        <v>0</v>
      </c>
      <c r="AW141" s="86">
        <f t="shared" si="114"/>
        <v>0</v>
      </c>
      <c r="AX141" s="86">
        <f t="shared" si="114"/>
        <v>0</v>
      </c>
      <c r="AY141" s="86">
        <f t="shared" si="114"/>
        <v>0</v>
      </c>
      <c r="AZ141" s="86">
        <f t="shared" si="114"/>
        <v>0</v>
      </c>
      <c r="BA141" s="86">
        <f t="shared" si="114"/>
        <v>0</v>
      </c>
      <c r="BB141" s="86">
        <f t="shared" si="114"/>
        <v>0</v>
      </c>
      <c r="BC141" s="86">
        <f t="shared" si="114"/>
        <v>0</v>
      </c>
      <c r="BD141" s="86">
        <f t="shared" si="114"/>
        <v>0</v>
      </c>
      <c r="BE141" s="86">
        <f t="shared" si="114"/>
        <v>0</v>
      </c>
      <c r="BG141" s="86">
        <f t="shared" ref="BG141:DR141" si="115">+BG131-BG140</f>
        <v>0</v>
      </c>
      <c r="BH141" s="86">
        <f t="shared" si="115"/>
        <v>0</v>
      </c>
      <c r="BI141" s="86">
        <f t="shared" si="115"/>
        <v>0</v>
      </c>
      <c r="BJ141" s="86">
        <f t="shared" si="115"/>
        <v>0</v>
      </c>
      <c r="BK141" s="86">
        <f t="shared" si="115"/>
        <v>0</v>
      </c>
      <c r="BL141" s="86">
        <f t="shared" si="115"/>
        <v>0</v>
      </c>
      <c r="BM141" s="86">
        <f t="shared" si="115"/>
        <v>0</v>
      </c>
      <c r="BN141" s="86">
        <f t="shared" si="115"/>
        <v>0</v>
      </c>
      <c r="BO141" s="86">
        <f t="shared" si="115"/>
        <v>0</v>
      </c>
      <c r="BP141" s="86">
        <f t="shared" si="115"/>
        <v>0</v>
      </c>
      <c r="BQ141" s="86">
        <f t="shared" si="115"/>
        <v>0</v>
      </c>
      <c r="BR141" s="86">
        <f t="shared" si="115"/>
        <v>0</v>
      </c>
      <c r="BS141" s="86">
        <f t="shared" si="115"/>
        <v>0</v>
      </c>
      <c r="BT141" s="86">
        <f t="shared" si="115"/>
        <v>0</v>
      </c>
      <c r="BU141" s="86">
        <f t="shared" si="115"/>
        <v>0</v>
      </c>
      <c r="BV141" s="86">
        <f t="shared" si="115"/>
        <v>0</v>
      </c>
      <c r="BW141" s="86">
        <f t="shared" si="115"/>
        <v>0</v>
      </c>
      <c r="BX141" s="86">
        <f t="shared" si="115"/>
        <v>0</v>
      </c>
      <c r="BY141" s="86">
        <f t="shared" si="115"/>
        <v>0</v>
      </c>
      <c r="BZ141" s="86">
        <f t="shared" si="115"/>
        <v>0</v>
      </c>
      <c r="CA141" s="86">
        <f t="shared" si="115"/>
        <v>0</v>
      </c>
      <c r="CB141" s="86">
        <f t="shared" si="115"/>
        <v>0</v>
      </c>
      <c r="CC141" s="86">
        <f t="shared" si="115"/>
        <v>0</v>
      </c>
      <c r="CD141" s="86">
        <f t="shared" si="115"/>
        <v>0</v>
      </c>
      <c r="CE141" s="86">
        <f t="shared" ca="1" si="115"/>
        <v>0</v>
      </c>
      <c r="CF141" s="86">
        <f t="shared" si="115"/>
        <v>0</v>
      </c>
      <c r="CG141" s="86">
        <f t="shared" si="115"/>
        <v>0</v>
      </c>
      <c r="CH141" s="86">
        <f t="shared" si="115"/>
        <v>0</v>
      </c>
      <c r="CI141" s="86">
        <f t="shared" si="115"/>
        <v>0</v>
      </c>
      <c r="CJ141" s="86">
        <f t="shared" si="115"/>
        <v>0</v>
      </c>
      <c r="CK141" s="86">
        <f t="shared" si="115"/>
        <v>0</v>
      </c>
      <c r="CL141" s="86">
        <f t="shared" si="115"/>
        <v>0</v>
      </c>
      <c r="CM141" s="86">
        <f t="shared" si="115"/>
        <v>0</v>
      </c>
      <c r="CN141" s="86">
        <f t="shared" si="115"/>
        <v>0</v>
      </c>
      <c r="CO141" s="86">
        <f t="shared" si="115"/>
        <v>0</v>
      </c>
      <c r="CP141" s="86">
        <f t="shared" si="115"/>
        <v>0</v>
      </c>
      <c r="CQ141" s="86">
        <f t="shared" si="115"/>
        <v>0</v>
      </c>
      <c r="CR141" s="86">
        <f t="shared" si="115"/>
        <v>0</v>
      </c>
      <c r="CS141" s="86">
        <f t="shared" si="115"/>
        <v>0</v>
      </c>
      <c r="CT141" s="86">
        <f t="shared" si="115"/>
        <v>0</v>
      </c>
      <c r="CU141" s="86">
        <f t="shared" si="115"/>
        <v>0</v>
      </c>
      <c r="CV141" s="86">
        <f t="shared" si="115"/>
        <v>0</v>
      </c>
      <c r="CW141" s="86">
        <f t="shared" si="115"/>
        <v>0</v>
      </c>
      <c r="CX141" s="86">
        <f t="shared" si="115"/>
        <v>0</v>
      </c>
      <c r="CY141" s="86">
        <f t="shared" si="115"/>
        <v>0</v>
      </c>
      <c r="CZ141" s="86">
        <f t="shared" si="115"/>
        <v>0</v>
      </c>
      <c r="DA141" s="86">
        <f t="shared" si="115"/>
        <v>0</v>
      </c>
      <c r="DB141" s="86">
        <f t="shared" si="115"/>
        <v>0</v>
      </c>
      <c r="DC141" s="86">
        <f t="shared" si="115"/>
        <v>0</v>
      </c>
      <c r="DD141" s="86">
        <f t="shared" ca="1" si="115"/>
        <v>0</v>
      </c>
      <c r="DE141" s="86">
        <f t="shared" ca="1" si="115"/>
        <v>0</v>
      </c>
      <c r="DF141" s="86">
        <f t="shared" ca="1" si="115"/>
        <v>0</v>
      </c>
      <c r="DG141" s="86">
        <f t="shared" si="115"/>
        <v>0</v>
      </c>
      <c r="DH141" s="86">
        <f t="shared" si="115"/>
        <v>0</v>
      </c>
      <c r="DI141" s="86">
        <f t="shared" si="115"/>
        <v>0</v>
      </c>
      <c r="DJ141" s="86">
        <f t="shared" si="115"/>
        <v>0</v>
      </c>
      <c r="DK141" s="86">
        <f t="shared" si="115"/>
        <v>0</v>
      </c>
      <c r="DL141" s="86">
        <f t="shared" si="115"/>
        <v>0</v>
      </c>
      <c r="DM141" s="86">
        <f t="shared" si="115"/>
        <v>0</v>
      </c>
      <c r="DN141" s="86">
        <f t="shared" si="115"/>
        <v>0</v>
      </c>
      <c r="DO141" s="86">
        <f t="shared" si="115"/>
        <v>0</v>
      </c>
      <c r="DP141" s="86">
        <f t="shared" si="115"/>
        <v>0</v>
      </c>
      <c r="DQ141" s="86">
        <f t="shared" si="115"/>
        <v>0</v>
      </c>
      <c r="DR141" s="86">
        <f t="shared" si="115"/>
        <v>0</v>
      </c>
      <c r="DS141" s="86">
        <f t="shared" ref="DS141:EB141" si="116">+DS131-DS140</f>
        <v>0</v>
      </c>
      <c r="DT141" s="86">
        <f t="shared" si="116"/>
        <v>0</v>
      </c>
      <c r="DU141" s="86">
        <f t="shared" si="116"/>
        <v>0</v>
      </c>
      <c r="DV141" s="86">
        <f t="shared" si="116"/>
        <v>0</v>
      </c>
      <c r="DW141" s="86">
        <f t="shared" si="116"/>
        <v>0</v>
      </c>
      <c r="DX141" s="86">
        <f t="shared" si="116"/>
        <v>0</v>
      </c>
      <c r="DY141" s="86">
        <f t="shared" si="116"/>
        <v>0</v>
      </c>
      <c r="DZ141" s="86">
        <f t="shared" si="116"/>
        <v>0</v>
      </c>
      <c r="EA141" s="86">
        <f t="shared" si="116"/>
        <v>0</v>
      </c>
      <c r="EB141" s="86">
        <f t="shared" si="116"/>
        <v>0</v>
      </c>
    </row>
    <row r="142" spans="1:132" ht="18.75" customHeight="1" x14ac:dyDescent="0.25">
      <c r="D142" s="184"/>
      <c r="E142" s="185"/>
      <c r="K142" s="86"/>
      <c r="AB142" s="86"/>
      <c r="AC142" s="86"/>
      <c r="AF142" s="86"/>
    </row>
    <row r="147" spans="12:12" x14ac:dyDescent="0.25">
      <c r="L147" s="1"/>
    </row>
    <row r="148" spans="12:12" x14ac:dyDescent="0.25">
      <c r="L148" s="1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205"/>
  <sheetViews>
    <sheetView showGridLines="0" tabSelected="1" topLeftCell="B1" zoomScaleNormal="100" zoomScaleSheetLayoutView="100" zoomScalePageLayoutView="50" workbookViewId="0">
      <pane xSplit="5" ySplit="5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BF205" sqref="BF205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0.28515625" customWidth="1"/>
    <col min="5" max="5" width="16" hidden="1" customWidth="1"/>
    <col min="6" max="6" width="14.5703125" hidden="1" customWidth="1"/>
    <col min="7" max="7" width="20.42578125" customWidth="1"/>
    <col min="8" max="8" width="16" hidden="1" customWidth="1"/>
    <col min="9" max="9" width="13.7109375" hidden="1" customWidth="1"/>
    <col min="10" max="10" width="13.140625" hidden="1" customWidth="1"/>
    <col min="11" max="11" width="12.5703125" hidden="1" customWidth="1"/>
    <col min="12" max="12" width="10.28515625" hidden="1" customWidth="1"/>
    <col min="13" max="13" width="12.7109375" hidden="1" customWidth="1"/>
    <col min="14" max="14" width="13.42578125" hidden="1" customWidth="1"/>
    <col min="15" max="15" width="12.5703125" hidden="1" customWidth="1"/>
    <col min="16" max="16" width="10.85546875" hidden="1" customWidth="1"/>
    <col min="17" max="17" width="12.85546875" hidden="1" customWidth="1"/>
    <col min="18" max="18" width="11" hidden="1" customWidth="1"/>
    <col min="19" max="19" width="12.28515625" hidden="1" customWidth="1"/>
    <col min="20" max="20" width="11.8554687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3" hidden="1" customWidth="1"/>
    <col min="26" max="26" width="13.140625" hidden="1" customWidth="1"/>
    <col min="27" max="27" width="14.2851562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6.85546875" customWidth="1"/>
    <col min="34" max="34" width="15.42578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6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8.28515625" customWidth="1"/>
    <col min="134" max="134" width="26.140625" customWidth="1"/>
    <col min="135" max="135" width="16.140625" customWidth="1"/>
    <col min="136" max="136" width="17" customWidth="1"/>
    <col min="137" max="137" width="15" customWidth="1"/>
    <col min="138" max="154" width="11.42578125" customWidth="1"/>
  </cols>
  <sheetData>
    <row r="1" spans="1:137" ht="15.75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</row>
    <row r="2" spans="1:137" ht="18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</row>
    <row r="3" spans="1:137" ht="15" customHeight="1" x14ac:dyDescent="0.25">
      <c r="B3" s="5"/>
      <c r="C3" s="189" t="s">
        <v>376</v>
      </c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</row>
    <row r="4" spans="1:137" ht="15" customHeight="1" x14ac:dyDescent="0.25">
      <c r="A4" s="15" t="s">
        <v>5</v>
      </c>
      <c r="B4" s="16" t="s">
        <v>6</v>
      </c>
      <c r="C4" s="16" t="s">
        <v>7</v>
      </c>
      <c r="D4" s="16" t="s">
        <v>8</v>
      </c>
      <c r="E4" s="17" t="s">
        <v>9</v>
      </c>
      <c r="F4" s="16" t="s">
        <v>10</v>
      </c>
      <c r="G4" s="18" t="s">
        <v>377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1" t="s">
        <v>378</v>
      </c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3"/>
      <c r="BF4" s="195" t="s">
        <v>380</v>
      </c>
      <c r="BG4" s="196"/>
      <c r="BH4" s="25" t="s">
        <v>12</v>
      </c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5" t="s">
        <v>12</v>
      </c>
      <c r="BU4" s="26"/>
      <c r="BV4" s="26"/>
      <c r="BW4" s="26"/>
      <c r="BX4" s="26"/>
      <c r="BY4" s="26"/>
      <c r="BZ4" s="26"/>
      <c r="CA4" s="26"/>
      <c r="CB4" s="26"/>
      <c r="CC4" s="26"/>
      <c r="CD4" s="27"/>
      <c r="CE4" s="191" t="s">
        <v>381</v>
      </c>
      <c r="CF4" s="193"/>
      <c r="CG4" s="20" t="s">
        <v>13</v>
      </c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9"/>
      <c r="CU4" s="29"/>
      <c r="CV4" s="21"/>
      <c r="CW4" s="21"/>
      <c r="CX4" s="21"/>
      <c r="CY4" s="21"/>
      <c r="CZ4" s="21"/>
      <c r="DA4" s="21"/>
      <c r="DB4" s="21"/>
      <c r="DC4" s="22"/>
      <c r="DD4" s="195" t="s">
        <v>382</v>
      </c>
      <c r="DE4" s="196"/>
      <c r="DF4" s="195" t="s">
        <v>382</v>
      </c>
      <c r="DG4" s="196"/>
      <c r="DH4" s="195" t="s">
        <v>382</v>
      </c>
      <c r="DI4" s="196"/>
      <c r="DJ4" s="195" t="s">
        <v>382</v>
      </c>
      <c r="DK4" s="196"/>
      <c r="DL4" s="195" t="s">
        <v>382</v>
      </c>
      <c r="DM4" s="196"/>
      <c r="DN4" s="195" t="s">
        <v>382</v>
      </c>
      <c r="DO4" s="196"/>
      <c r="DP4" s="195" t="s">
        <v>382</v>
      </c>
      <c r="DQ4" s="196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7" s="37" customFormat="1" ht="36" customHeight="1" x14ac:dyDescent="0.2">
      <c r="A5" s="15"/>
      <c r="B5" s="16"/>
      <c r="C5" s="16"/>
      <c r="D5" s="16"/>
      <c r="E5" s="17"/>
      <c r="F5" s="16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94" t="s">
        <v>40</v>
      </c>
      <c r="AH5" s="194" t="s">
        <v>379</v>
      </c>
      <c r="AI5" s="35" t="s">
        <v>17</v>
      </c>
      <c r="AJ5" s="35" t="s">
        <v>18</v>
      </c>
      <c r="AK5" s="35" t="s">
        <v>19</v>
      </c>
      <c r="AL5" s="35" t="s">
        <v>20</v>
      </c>
      <c r="AM5" s="35" t="s">
        <v>21</v>
      </c>
      <c r="AN5" s="35" t="s">
        <v>22</v>
      </c>
      <c r="AO5" s="35" t="s">
        <v>23</v>
      </c>
      <c r="AP5" s="35" t="s">
        <v>24</v>
      </c>
      <c r="AQ5" s="35" t="s">
        <v>25</v>
      </c>
      <c r="AR5" s="35" t="s">
        <v>26</v>
      </c>
      <c r="AS5" s="35" t="s">
        <v>27</v>
      </c>
      <c r="AT5" s="35" t="s">
        <v>28</v>
      </c>
      <c r="AU5" s="35" t="s">
        <v>29</v>
      </c>
      <c r="AV5" s="35" t="s">
        <v>30</v>
      </c>
      <c r="AW5" s="35" t="s">
        <v>31</v>
      </c>
      <c r="AX5" s="35" t="s">
        <v>32</v>
      </c>
      <c r="AY5" s="35" t="s">
        <v>33</v>
      </c>
      <c r="AZ5" s="35" t="s">
        <v>34</v>
      </c>
      <c r="BA5" s="35" t="s">
        <v>35</v>
      </c>
      <c r="BB5" s="35" t="s">
        <v>36</v>
      </c>
      <c r="BC5" s="35" t="s">
        <v>37</v>
      </c>
      <c r="BD5" s="35" t="s">
        <v>38</v>
      </c>
      <c r="BE5" s="194" t="s">
        <v>379</v>
      </c>
      <c r="BF5" s="197" t="s">
        <v>40</v>
      </c>
      <c r="BG5" s="197" t="s">
        <v>379</v>
      </c>
      <c r="BH5" s="30" t="s">
        <v>17</v>
      </c>
      <c r="BI5" s="30" t="s">
        <v>18</v>
      </c>
      <c r="BJ5" s="30" t="s">
        <v>42</v>
      </c>
      <c r="BK5" s="30" t="s">
        <v>20</v>
      </c>
      <c r="BL5" s="30" t="s">
        <v>21</v>
      </c>
      <c r="BM5" s="30" t="s">
        <v>22</v>
      </c>
      <c r="BN5" s="30" t="s">
        <v>23</v>
      </c>
      <c r="BO5" s="30" t="s">
        <v>24</v>
      </c>
      <c r="BP5" s="30" t="s">
        <v>25</v>
      </c>
      <c r="BQ5" s="30" t="s">
        <v>26</v>
      </c>
      <c r="BR5" s="30" t="s">
        <v>27</v>
      </c>
      <c r="BS5" s="30" t="s">
        <v>28</v>
      </c>
      <c r="BT5" s="30" t="s">
        <v>29</v>
      </c>
      <c r="BU5" s="30" t="s">
        <v>30</v>
      </c>
      <c r="BV5" s="30" t="s">
        <v>31</v>
      </c>
      <c r="BW5" s="30" t="s">
        <v>32</v>
      </c>
      <c r="BX5" s="30" t="s">
        <v>33</v>
      </c>
      <c r="BY5" s="30" t="s">
        <v>34</v>
      </c>
      <c r="BZ5" s="30" t="s">
        <v>35</v>
      </c>
      <c r="CA5" s="30" t="s">
        <v>36</v>
      </c>
      <c r="CB5" s="30" t="s">
        <v>37</v>
      </c>
      <c r="CC5" s="30" t="s">
        <v>38</v>
      </c>
      <c r="CD5" s="30" t="s">
        <v>39</v>
      </c>
      <c r="CE5" s="194" t="s">
        <v>40</v>
      </c>
      <c r="CF5" s="194" t="s">
        <v>379</v>
      </c>
      <c r="CG5" s="35" t="s">
        <v>17</v>
      </c>
      <c r="CH5" s="35" t="s">
        <v>18</v>
      </c>
      <c r="CI5" s="35" t="s">
        <v>42</v>
      </c>
      <c r="CJ5" s="35" t="s">
        <v>20</v>
      </c>
      <c r="CK5" s="35" t="s">
        <v>21</v>
      </c>
      <c r="CL5" s="35" t="s">
        <v>22</v>
      </c>
      <c r="CM5" s="35" t="s">
        <v>23</v>
      </c>
      <c r="CN5" s="35" t="s">
        <v>24</v>
      </c>
      <c r="CO5" s="35" t="s">
        <v>25</v>
      </c>
      <c r="CP5" s="35" t="s">
        <v>26</v>
      </c>
      <c r="CQ5" s="35" t="s">
        <v>27</v>
      </c>
      <c r="CR5" s="35" t="s">
        <v>28</v>
      </c>
      <c r="CS5" s="35" t="s">
        <v>29</v>
      </c>
      <c r="CT5" s="35" t="s">
        <v>30</v>
      </c>
      <c r="CU5" s="35" t="s">
        <v>31</v>
      </c>
      <c r="CV5" s="35" t="s">
        <v>32</v>
      </c>
      <c r="CW5" s="35" t="s">
        <v>33</v>
      </c>
      <c r="CX5" s="35" t="s">
        <v>34</v>
      </c>
      <c r="CY5" s="35" t="s">
        <v>35</v>
      </c>
      <c r="CZ5" s="35" t="s">
        <v>36</v>
      </c>
      <c r="DA5" s="35" t="s">
        <v>37</v>
      </c>
      <c r="DB5" s="35" t="s">
        <v>38</v>
      </c>
      <c r="DC5" s="35" t="s">
        <v>39</v>
      </c>
      <c r="DD5" s="197" t="s">
        <v>40</v>
      </c>
      <c r="DE5" s="197" t="s">
        <v>379</v>
      </c>
      <c r="DF5" s="197" t="s">
        <v>40</v>
      </c>
      <c r="DG5" s="197" t="s">
        <v>379</v>
      </c>
      <c r="DH5" s="197" t="s">
        <v>40</v>
      </c>
      <c r="DI5" s="197" t="s">
        <v>379</v>
      </c>
      <c r="DJ5" s="197" t="s">
        <v>40</v>
      </c>
      <c r="DK5" s="197" t="s">
        <v>379</v>
      </c>
      <c r="DL5" s="197" t="s">
        <v>40</v>
      </c>
      <c r="DM5" s="197" t="s">
        <v>379</v>
      </c>
      <c r="DN5" s="197" t="s">
        <v>40</v>
      </c>
      <c r="DO5" s="197" t="s">
        <v>379</v>
      </c>
      <c r="DP5" s="197" t="s">
        <v>40</v>
      </c>
      <c r="DQ5" s="197" t="s">
        <v>379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  <c r="ED5" s="198" t="s">
        <v>5</v>
      </c>
      <c r="EE5" s="198" t="s">
        <v>383</v>
      </c>
      <c r="EF5" s="199" t="s">
        <v>384</v>
      </c>
      <c r="EG5" s="199" t="s">
        <v>385</v>
      </c>
    </row>
    <row r="6" spans="1:137" ht="49.5" hidden="1" customHeight="1" x14ac:dyDescent="0.25">
      <c r="A6" s="38" t="s">
        <v>43</v>
      </c>
      <c r="B6" s="39" t="s">
        <v>44</v>
      </c>
      <c r="C6" s="40" t="s">
        <v>45</v>
      </c>
      <c r="D6" s="41" t="s">
        <v>46</v>
      </c>
      <c r="E6" s="42">
        <v>510</v>
      </c>
      <c r="F6" s="43" t="s">
        <v>47</v>
      </c>
      <c r="G6" s="44">
        <f t="shared" ref="G6:G23" si="0">SUM(J6:AF6)</f>
        <v>91329417</v>
      </c>
      <c r="H6" s="45">
        <v>100000000</v>
      </c>
      <c r="I6" s="45">
        <f>H6-G6</f>
        <v>8670583</v>
      </c>
      <c r="J6" s="44"/>
      <c r="K6" s="44">
        <f>40000000+13893335</f>
        <v>53893335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>
        <v>10000000</v>
      </c>
      <c r="AA6" s="44">
        <f>6936130</f>
        <v>6936130</v>
      </c>
      <c r="AB6" s="44"/>
      <c r="AC6" s="44"/>
      <c r="AD6" s="44"/>
      <c r="AE6" s="44"/>
      <c r="AF6" s="44">
        <f>24000000-2000048-1500000</f>
        <v>20499952</v>
      </c>
      <c r="AG6" s="46">
        <f t="shared" ref="AG6:AG69" si="1">AH6/G6</f>
        <v>0.56184838013364302</v>
      </c>
      <c r="AH6" s="44">
        <f t="shared" ref="AH6:AH23" si="2">SUM(AI6:BE6)</f>
        <v>51313285</v>
      </c>
      <c r="AI6" s="47"/>
      <c r="AJ6" s="44">
        <f>+'[1]Acuerdo PLAN INVERSIÓN 2021'!$J$18</f>
        <v>29813333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>
        <f>+'[2]Acuerdo PLAN INVERSIÓN 2021'!$AA$18</f>
        <v>1000000</v>
      </c>
      <c r="AZ6" s="44"/>
      <c r="BA6" s="44"/>
      <c r="BB6" s="44"/>
      <c r="BC6" s="44"/>
      <c r="BD6" s="44"/>
      <c r="BE6" s="44">
        <f>+'[3]Acuerdo PLAN INVERSIÓN 2021'!$AF$18</f>
        <v>20499952</v>
      </c>
      <c r="BF6" s="46">
        <f>1-AG6</f>
        <v>0.43815161986635698</v>
      </c>
      <c r="BG6" s="44">
        <f t="shared" ref="BG6:BG23" si="3">SUM(BH6:CD6)</f>
        <v>40016132</v>
      </c>
      <c r="BH6" s="44">
        <f t="shared" ref="BH6:BW21" si="4">+J6-AI6</f>
        <v>0</v>
      </c>
      <c r="BI6" s="44">
        <f t="shared" si="4"/>
        <v>24080002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9000000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0</v>
      </c>
      <c r="CE6" s="46">
        <f t="shared" ref="CE6:CE49" si="6">CF6/G6</f>
        <v>0.55088147557100908</v>
      </c>
      <c r="CF6" s="44">
        <f t="shared" ref="CF6:CF23" si="7">SUM(CG6:DC6)</f>
        <v>50311684</v>
      </c>
      <c r="CG6" s="44"/>
      <c r="CH6" s="44">
        <f>+'[3]Acuerdo PLAN INVERSIÓN 2021'!$H$19+'[3]Acuerdo PLAN INVERSIÓN 2021'!$H$22+'[3]Acuerdo PLAN INVERSIÓN 2021'!$H$31+'[3]Acuerdo PLAN INVERSIÓN 2021'!$H$43+'[1]Acuerdo PLAN INVERSIÓN 2021'!$H$45</f>
        <v>29813332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>
        <f>+'[4]Acuerdo PLAN INVERSIÓN 2021'!$H$25+'[4]Acuerdo PLAN INVERSIÓN 2021'!$H$28+'[4]Acuerdo PLAN INVERSIÓN 2021'!$H$35+'[4]Acuerdo PLAN INVERSIÓN 2021'!$H$37+'[4]Acuerdo PLAN INVERSIÓN 2021'!$H$40</f>
        <v>20498352</v>
      </c>
      <c r="DD6" s="46">
        <f t="shared" ref="DD6:DD69" si="8">1-CE6</f>
        <v>0.44911852442899092</v>
      </c>
      <c r="DE6" s="44">
        <f>SUM(DF6:EB6)</f>
        <v>41017733</v>
      </c>
      <c r="DF6" s="44">
        <f t="shared" ref="DF6:DU21" si="9">+J6-CG6</f>
        <v>0</v>
      </c>
      <c r="DG6" s="44">
        <f t="shared" si="9"/>
        <v>24080003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10000000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1600</v>
      </c>
    </row>
    <row r="7" spans="1:137" ht="51" hidden="1" customHeight="1" x14ac:dyDescent="0.25">
      <c r="A7" s="50"/>
      <c r="B7" s="51"/>
      <c r="C7" s="40" t="s">
        <v>48</v>
      </c>
      <c r="D7" s="41" t="s">
        <v>49</v>
      </c>
      <c r="E7" s="42">
        <v>510</v>
      </c>
      <c r="F7" s="43" t="s">
        <v>50</v>
      </c>
      <c r="G7" s="44">
        <f t="shared" si="0"/>
        <v>41670990</v>
      </c>
      <c r="H7" s="45">
        <v>40000000</v>
      </c>
      <c r="I7" s="45">
        <f t="shared" ref="I7:I23" si="11">H7-G7</f>
        <v>-1670990</v>
      </c>
      <c r="J7" s="44"/>
      <c r="K7" s="44">
        <f>30000000+4970990</f>
        <v>34970990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6700000</v>
      </c>
      <c r="AB7" s="44"/>
      <c r="AC7" s="44"/>
      <c r="AD7" s="44"/>
      <c r="AE7" s="44"/>
      <c r="AF7" s="44"/>
      <c r="AG7" s="46">
        <f t="shared" si="1"/>
        <v>0.57146069723805459</v>
      </c>
      <c r="AH7" s="44">
        <f t="shared" si="2"/>
        <v>23813333</v>
      </c>
      <c r="AI7" s="44"/>
      <c r="AJ7" s="44">
        <f>+'[4]Acuerdo PLAN INVERSIÓN 2021'!$J$47-1</f>
        <v>23813333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6">
        <f t="shared" ref="BF7:BF70" si="12">1-AG7</f>
        <v>0.42853930276194541</v>
      </c>
      <c r="BG7" s="44">
        <f t="shared" si="3"/>
        <v>17857657</v>
      </c>
      <c r="BH7" s="44">
        <f t="shared" si="4"/>
        <v>0</v>
      </c>
      <c r="BI7" s="44">
        <f t="shared" si="4"/>
        <v>11157657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6700000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0.57146067324054461</v>
      </c>
      <c r="CF7" s="44">
        <f t="shared" si="7"/>
        <v>23813332</v>
      </c>
      <c r="CG7" s="44"/>
      <c r="CH7" s="44">
        <v>23813332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6">
        <f t="shared" si="8"/>
        <v>0.42853932675945539</v>
      </c>
      <c r="DE7" s="44">
        <f t="shared" ref="DE7:DE23" si="13">SUM(DF7:EB7)</f>
        <v>17857658</v>
      </c>
      <c r="DF7" s="44">
        <f t="shared" si="9"/>
        <v>0</v>
      </c>
      <c r="DG7" s="44">
        <f t="shared" si="9"/>
        <v>11157658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6700000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</row>
    <row r="8" spans="1:137" ht="60" hidden="1" customHeight="1" x14ac:dyDescent="0.25">
      <c r="A8" s="52"/>
      <c r="B8" s="53" t="s">
        <v>51</v>
      </c>
      <c r="C8" s="40" t="s">
        <v>52</v>
      </c>
      <c r="D8" s="54" t="s">
        <v>53</v>
      </c>
      <c r="E8" s="55">
        <v>510</v>
      </c>
      <c r="F8" s="56" t="s">
        <v>54</v>
      </c>
      <c r="G8" s="44">
        <f t="shared" si="0"/>
        <v>75740837</v>
      </c>
      <c r="H8" s="45">
        <v>15000000</v>
      </c>
      <c r="I8" s="45">
        <f t="shared" si="11"/>
        <v>-60740837</v>
      </c>
      <c r="J8" s="44"/>
      <c r="K8" s="44">
        <v>46336160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>
        <v>18000000</v>
      </c>
      <c r="AA8" s="44"/>
      <c r="AB8" s="44"/>
      <c r="AC8" s="44"/>
      <c r="AD8" s="44"/>
      <c r="AE8" s="44"/>
      <c r="AF8" s="44">
        <v>11404677</v>
      </c>
      <c r="AG8" s="46">
        <f t="shared" si="1"/>
        <v>0.84942499381146264</v>
      </c>
      <c r="AH8" s="44">
        <f t="shared" si="2"/>
        <v>64336160</v>
      </c>
      <c r="AI8" s="44"/>
      <c r="AJ8" s="44">
        <f>+'[4]Acuerdo PLAN INVERSIÓN 2021'!$J$56</f>
        <v>46336160</v>
      </c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>
        <f>+'[4]Acuerdo PLAN INVERSIÓN 2021'!$AA$56</f>
        <v>18000000</v>
      </c>
      <c r="AZ8" s="44"/>
      <c r="BA8" s="44"/>
      <c r="BB8" s="44"/>
      <c r="BC8" s="44"/>
      <c r="BD8" s="44"/>
      <c r="BE8" s="44"/>
      <c r="BF8" s="46">
        <f t="shared" si="12"/>
        <v>0.15057500618853736</v>
      </c>
      <c r="BG8" s="44">
        <f t="shared" si="3"/>
        <v>11404677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11404677</v>
      </c>
      <c r="CE8" s="46">
        <f t="shared" si="6"/>
        <v>0.82034122490618899</v>
      </c>
      <c r="CF8" s="44">
        <f t="shared" si="7"/>
        <v>62133331</v>
      </c>
      <c r="CG8" s="44"/>
      <c r="CH8" s="44">
        <f>+'[5]Acuerdo PLAN INVERSIÓN 2021'!$H$66+'[5]Acuerdo PLAN INVERSIÓN 2021'!$H$72+'[5]Acuerdo PLAN INVERSIÓN 2021'!$H$75</f>
        <v>45686160</v>
      </c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>
        <f>+'[5]Acuerdo PLAN INVERSIÓN 2021'!$H$63+'[5]Acuerdo PLAN INVERSIÓN 2021'!$H$80</f>
        <v>16447171</v>
      </c>
      <c r="CX8" s="44"/>
      <c r="CY8" s="44"/>
      <c r="CZ8" s="44"/>
      <c r="DA8" s="44"/>
      <c r="DB8" s="44"/>
      <c r="DC8" s="44"/>
      <c r="DD8" s="46">
        <f t="shared" si="8"/>
        <v>0.17965877509381101</v>
      </c>
      <c r="DE8" s="44">
        <f t="shared" si="13"/>
        <v>13607506</v>
      </c>
      <c r="DF8" s="44">
        <f t="shared" si="9"/>
        <v>0</v>
      </c>
      <c r="DG8" s="44">
        <f t="shared" si="9"/>
        <v>650000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1552829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11404677</v>
      </c>
    </row>
    <row r="9" spans="1:137" ht="48" hidden="1" customHeight="1" x14ac:dyDescent="0.25">
      <c r="A9" s="52"/>
      <c r="B9" s="53"/>
      <c r="C9" s="40" t="s">
        <v>55</v>
      </c>
      <c r="D9" s="57" t="s">
        <v>56</v>
      </c>
      <c r="E9" s="42">
        <v>510</v>
      </c>
      <c r="F9" s="43" t="s">
        <v>57</v>
      </c>
      <c r="G9" s="44">
        <f t="shared" si="0"/>
        <v>65666667</v>
      </c>
      <c r="H9" s="45">
        <v>20000000</v>
      </c>
      <c r="I9" s="45">
        <f t="shared" si="11"/>
        <v>-45666667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>
        <v>23000000</v>
      </c>
      <c r="AA9" s="44"/>
      <c r="AB9" s="44"/>
      <c r="AC9" s="44"/>
      <c r="AD9" s="44"/>
      <c r="AE9" s="44"/>
      <c r="AF9" s="44">
        <f>16000000+10000000+10000000+16666667-10000000</f>
        <v>42666667</v>
      </c>
      <c r="AG9" s="46">
        <f t="shared" si="1"/>
        <v>0.61928934203406427</v>
      </c>
      <c r="AH9" s="44">
        <f t="shared" si="2"/>
        <v>40666667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>
        <f>+'[2]Acuerdo PLAN INVERSIÓN 2021'!$AA$80</f>
        <v>8000000</v>
      </c>
      <c r="AZ9" s="44"/>
      <c r="BA9" s="44"/>
      <c r="BB9" s="44"/>
      <c r="BC9" s="44"/>
      <c r="BD9" s="44"/>
      <c r="BE9" s="44">
        <f>+'[1]Acuerdo PLAN INVERSIÓN 2021'!$AF$84</f>
        <v>32666667</v>
      </c>
      <c r="BF9" s="46">
        <f t="shared" si="12"/>
        <v>0.38071065796593573</v>
      </c>
      <c r="BG9" s="44">
        <f t="shared" si="3"/>
        <v>25000000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15000000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10000000</v>
      </c>
      <c r="CE9" s="46">
        <f t="shared" si="6"/>
        <v>0.5431472104408771</v>
      </c>
      <c r="CF9" s="44">
        <f t="shared" si="7"/>
        <v>35666667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>
        <f>+'[5]Acuerdo PLAN INVERSIÓN 2021'!$H$94</f>
        <v>5000000</v>
      </c>
      <c r="CX9" s="44"/>
      <c r="CY9" s="44"/>
      <c r="CZ9" s="44"/>
      <c r="DA9" s="44"/>
      <c r="DB9" s="44"/>
      <c r="DC9" s="44">
        <f>+'[5]Acuerdo PLAN INVERSIÓN 2021'!$H$88+'[5]Acuerdo PLAN INVERSIÓN 2021'!$H$91+'[5]Acuerdo PLAN INVERSIÓN 2021'!$H$99+'[5]Acuerdo PLAN INVERSIÓN 2021'!$H$103+'[5]Acuerdo PLAN INVERSIÓN 2021'!$H$107+'[5]Acuerdo PLAN INVERSIÓN 2021'!$H$112</f>
        <v>30666667</v>
      </c>
      <c r="DD9" s="46">
        <f t="shared" si="8"/>
        <v>0.4568527895591229</v>
      </c>
      <c r="DE9" s="44">
        <f t="shared" si="13"/>
        <v>30000000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18000000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12000000</v>
      </c>
    </row>
    <row r="10" spans="1:137" ht="37.5" hidden="1" customHeight="1" x14ac:dyDescent="0.25">
      <c r="A10" s="52"/>
      <c r="B10" s="53"/>
      <c r="C10" s="40" t="s">
        <v>58</v>
      </c>
      <c r="D10" s="41" t="s">
        <v>59</v>
      </c>
      <c r="E10" s="42">
        <v>510</v>
      </c>
      <c r="F10" s="43" t="s">
        <v>60</v>
      </c>
      <c r="G10" s="44">
        <f t="shared" si="0"/>
        <v>424000000</v>
      </c>
      <c r="H10" s="45">
        <v>28600000</v>
      </c>
      <c r="I10" s="45">
        <f t="shared" si="11"/>
        <v>-395400000</v>
      </c>
      <c r="J10" s="44"/>
      <c r="K10" s="44"/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>
        <v>10000000</v>
      </c>
      <c r="AA10" s="44"/>
      <c r="AB10" s="44"/>
      <c r="AC10" s="44"/>
      <c r="AD10" s="44"/>
      <c r="AE10" s="44">
        <v>300000000</v>
      </c>
      <c r="AF10" s="44"/>
      <c r="AG10" s="46">
        <f t="shared" si="1"/>
        <v>0.97641509433962259</v>
      </c>
      <c r="AH10" s="44">
        <f t="shared" si="2"/>
        <v>414000000</v>
      </c>
      <c r="AI10" s="44"/>
      <c r="AJ10" s="44"/>
      <c r="AK10" s="44"/>
      <c r="AL10" s="44">
        <f>+'[1]Acuerdo PLAN INVERSIÓN 2021'!$M$108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+'[1]Acuerdo PLAN INVERSIÓN 2021'!$AE$108</f>
        <v>300000000</v>
      </c>
      <c r="BE10" s="44"/>
      <c r="BF10" s="46">
        <f t="shared" si="12"/>
        <v>2.3584905660377409E-2</v>
      </c>
      <c r="BG10" s="44">
        <f t="shared" si="3"/>
        <v>10000000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10000000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0</v>
      </c>
      <c r="CF10" s="44">
        <f t="shared" si="7"/>
        <v>0</v>
      </c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1</v>
      </c>
      <c r="DE10" s="44">
        <f t="shared" si="13"/>
        <v>424000000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10000000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</row>
    <row r="11" spans="1:137" ht="31.5" hidden="1" customHeight="1" x14ac:dyDescent="0.25">
      <c r="A11" s="52"/>
      <c r="B11" s="53"/>
      <c r="C11" s="40" t="s">
        <v>61</v>
      </c>
      <c r="D11" s="41" t="s">
        <v>62</v>
      </c>
      <c r="E11" s="42">
        <v>510</v>
      </c>
      <c r="F11" s="43" t="s">
        <v>60</v>
      </c>
      <c r="G11" s="44">
        <f t="shared" si="0"/>
        <v>132908964</v>
      </c>
      <c r="H11" s="45">
        <v>45000000</v>
      </c>
      <c r="I11" s="45">
        <f t="shared" si="11"/>
        <v>-87908964</v>
      </c>
      <c r="J11" s="44"/>
      <c r="K11" s="44">
        <f>301000</f>
        <v>301000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>
        <v>10000000</v>
      </c>
      <c r="AA11" s="44"/>
      <c r="AB11" s="44"/>
      <c r="AC11" s="44"/>
      <c r="AD11" s="44"/>
      <c r="AE11" s="44">
        <f>122607964</f>
        <v>122607964</v>
      </c>
      <c r="AF11" s="44"/>
      <c r="AG11" s="46">
        <f t="shared" si="1"/>
        <v>0.92249582202747438</v>
      </c>
      <c r="AH11" s="44">
        <f t="shared" si="2"/>
        <v>122607964</v>
      </c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+'[1]Acuerdo PLAN INVERSIÓN 2021'!$AE$115</f>
        <v>122607964</v>
      </c>
      <c r="BE11" s="44"/>
      <c r="BF11" s="46">
        <f t="shared" si="12"/>
        <v>7.7504177972525623E-2</v>
      </c>
      <c r="BG11" s="44">
        <f t="shared" si="3"/>
        <v>10301000</v>
      </c>
      <c r="BH11" s="44">
        <f t="shared" si="4"/>
        <v>0</v>
      </c>
      <c r="BI11" s="44">
        <f t="shared" si="4"/>
        <v>301000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10000000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0</v>
      </c>
      <c r="CD11" s="44">
        <f t="shared" si="5"/>
        <v>0</v>
      </c>
      <c r="CE11" s="46">
        <f t="shared" si="6"/>
        <v>0</v>
      </c>
      <c r="CF11" s="44">
        <f t="shared" si="7"/>
        <v>0</v>
      </c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6">
        <f t="shared" si="8"/>
        <v>1</v>
      </c>
      <c r="DE11" s="44">
        <f t="shared" si="13"/>
        <v>132908964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10000000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122607964</v>
      </c>
      <c r="EB11" s="44">
        <f t="shared" si="10"/>
        <v>0</v>
      </c>
    </row>
    <row r="12" spans="1:137" ht="20.45" hidden="1" customHeight="1" x14ac:dyDescent="0.25">
      <c r="A12" s="52"/>
      <c r="B12" s="58" t="s">
        <v>63</v>
      </c>
      <c r="C12" s="59" t="s">
        <v>64</v>
      </c>
      <c r="D12" s="41" t="s">
        <v>65</v>
      </c>
      <c r="E12" s="42">
        <v>310</v>
      </c>
      <c r="F12" s="43" t="s">
        <v>60</v>
      </c>
      <c r="G12" s="44">
        <f t="shared" si="0"/>
        <v>0</v>
      </c>
      <c r="H12" s="45">
        <v>15000000</v>
      </c>
      <c r="I12" s="45">
        <f t="shared" si="11"/>
        <v>15000000</v>
      </c>
      <c r="J12" s="44"/>
      <c r="K12" s="44"/>
      <c r="L12" s="44"/>
      <c r="M12" s="44">
        <f>150000000-150000000</f>
        <v>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6" t="e">
        <f t="shared" si="1"/>
        <v>#DIV/0!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 t="e">
        <f t="shared" si="12"/>
        <v>#DIV/0!</v>
      </c>
      <c r="BG12" s="44">
        <f t="shared" si="3"/>
        <v>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 t="e">
        <f t="shared" si="6"/>
        <v>#DIV/0!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 t="e">
        <f t="shared" si="8"/>
        <v>#DIV/0!</v>
      </c>
      <c r="DE12" s="44">
        <f t="shared" si="13"/>
        <v>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</row>
    <row r="13" spans="1:137" ht="22.5" hidden="1" customHeight="1" x14ac:dyDescent="0.25">
      <c r="A13" s="52"/>
      <c r="B13" s="60"/>
      <c r="C13" s="59" t="s">
        <v>66</v>
      </c>
      <c r="D13" s="54" t="s">
        <v>67</v>
      </c>
      <c r="E13" s="42">
        <v>310</v>
      </c>
      <c r="F13" s="43" t="s">
        <v>60</v>
      </c>
      <c r="G13" s="44">
        <f t="shared" si="0"/>
        <v>717909418</v>
      </c>
      <c r="H13" s="45">
        <v>1329277636</v>
      </c>
      <c r="I13" s="45">
        <f t="shared" si="11"/>
        <v>611368218</v>
      </c>
      <c r="J13" s="44"/>
      <c r="K13" s="44">
        <v>100000000</v>
      </c>
      <c r="L13" s="44"/>
      <c r="M13" s="44">
        <f>328050814+150000000</f>
        <v>478050814</v>
      </c>
      <c r="N13" s="44"/>
      <c r="O13" s="44"/>
      <c r="P13" s="44"/>
      <c r="Q13" s="44"/>
      <c r="R13" s="44"/>
      <c r="S13" s="44"/>
      <c r="T13" s="44"/>
      <c r="U13" s="44">
        <f>21358604</f>
        <v>21358604</v>
      </c>
      <c r="V13" s="44"/>
      <c r="W13" s="44"/>
      <c r="X13" s="44"/>
      <c r="Y13" s="44"/>
      <c r="Z13" s="44">
        <v>100000000</v>
      </c>
      <c r="AA13" s="44"/>
      <c r="AB13" s="44"/>
      <c r="AC13" s="44"/>
      <c r="AD13" s="44"/>
      <c r="AE13" s="44"/>
      <c r="AF13" s="44">
        <f>15000000+8000000-4500000</f>
        <v>18500000</v>
      </c>
      <c r="AG13" s="46">
        <f t="shared" si="1"/>
        <v>0.94428266436253938</v>
      </c>
      <c r="AH13" s="44">
        <f t="shared" si="2"/>
        <v>677909418</v>
      </c>
      <c r="AI13" s="44"/>
      <c r="AJ13" s="44">
        <f>+'[6]Acuerdo PLAN INVERSIÓN 2021'!$J$133</f>
        <v>100000000</v>
      </c>
      <c r="AK13" s="44"/>
      <c r="AL13" s="44">
        <f>+'[5]Acuerdo PLAN INVERSIÓN 2021'!$M$138</f>
        <v>478050814</v>
      </c>
      <c r="AM13" s="44"/>
      <c r="AN13" s="44"/>
      <c r="AO13" s="44"/>
      <c r="AP13" s="44"/>
      <c r="AQ13" s="44"/>
      <c r="AR13" s="44"/>
      <c r="AS13" s="44"/>
      <c r="AT13" s="44">
        <f>+'[7]Acuerdo PLAN INVERSIÓN 2021'!$O$86</f>
        <v>21358604</v>
      </c>
      <c r="AU13" s="44"/>
      <c r="AV13" s="44"/>
      <c r="AW13" s="44"/>
      <c r="AX13" s="44"/>
      <c r="AY13" s="44">
        <f>+'[1]Acuerdo PLAN INVERSIÓN 2021'!$AA$128</f>
        <v>60000000</v>
      </c>
      <c r="AZ13" s="44"/>
      <c r="BA13" s="44"/>
      <c r="BB13" s="44"/>
      <c r="BC13" s="44"/>
      <c r="BD13" s="44"/>
      <c r="BE13" s="44">
        <f>+'[7]Acuerdo PLAN INVERSIÓN 2021'!$AF$86+'[2]Acuerdo PLAN INVERSIÓN 2021'!$G$154</f>
        <v>18500000</v>
      </c>
      <c r="BF13" s="46">
        <f t="shared" si="12"/>
        <v>5.5717335637460619E-2</v>
      </c>
      <c r="BG13" s="44">
        <f t="shared" si="3"/>
        <v>40000000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0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40000000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0.53844928525509328</v>
      </c>
      <c r="CF13" s="44">
        <f t="shared" si="7"/>
        <v>386557813</v>
      </c>
      <c r="CG13" s="44"/>
      <c r="CH13" s="44">
        <f>+'[5]Acuerdo PLAN INVERSIÓN 2021'!$H$139+'[5]Acuerdo PLAN INVERSIÓN 2021'!$H$191+'[5]Acuerdo PLAN INVERSIÓN 2021'!$H$210</f>
        <v>63345745</v>
      </c>
      <c r="CI13" s="44"/>
      <c r="CJ13" s="44">
        <f>+'[5]Acuerdo PLAN INVERSIÓN 2021'!$H$195+'[5]Acuerdo PLAN INVERSIÓN 2021'!$H$214</f>
        <v>227250473</v>
      </c>
      <c r="CK13" s="44"/>
      <c r="CL13" s="44"/>
      <c r="CM13" s="44"/>
      <c r="CN13" s="44"/>
      <c r="CO13" s="44"/>
      <c r="CP13" s="44"/>
      <c r="CQ13" s="44"/>
      <c r="CR13" s="44">
        <f>+'[5]Acuerdo PLAN INVERSIÓN 2021'!$H$177+'[5]Acuerdo PLAN INVERSIÓN 2021'!$H$181</f>
        <v>18174807</v>
      </c>
      <c r="CS13" s="44"/>
      <c r="CT13" s="44"/>
      <c r="CU13" s="44"/>
      <c r="CV13" s="44"/>
      <c r="CW13" s="44">
        <f>+'[5]Acuerdo PLAN INVERSIÓN 2021'!$H$155</f>
        <v>59286788</v>
      </c>
      <c r="CX13" s="44"/>
      <c r="CY13" s="44"/>
      <c r="CZ13" s="44"/>
      <c r="DA13" s="44"/>
      <c r="DB13" s="44"/>
      <c r="DC13" s="44">
        <f>+'[5]Acuerdo PLAN INVERSIÓN 2021'!$H$169+'[5]Acuerdo PLAN INVERSIÓN 2021'!$H$174+'[5]Acuerdo PLAN INVERSIÓN 2021'!$H$187</f>
        <v>18500000</v>
      </c>
      <c r="DD13" s="46">
        <f t="shared" si="8"/>
        <v>0.46155071474490672</v>
      </c>
      <c r="DE13" s="44">
        <f t="shared" si="13"/>
        <v>331351605</v>
      </c>
      <c r="DF13" s="44">
        <f t="shared" si="9"/>
        <v>0</v>
      </c>
      <c r="DG13" s="44">
        <f t="shared" si="9"/>
        <v>36654255</v>
      </c>
      <c r="DH13" s="44">
        <f t="shared" si="9"/>
        <v>0</v>
      </c>
      <c r="DI13" s="44">
        <f t="shared" si="9"/>
        <v>250800341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3183797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40713212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0</v>
      </c>
    </row>
    <row r="14" spans="1:137" ht="26.25" hidden="1" customHeight="1" x14ac:dyDescent="0.25">
      <c r="A14" s="52"/>
      <c r="B14" s="60"/>
      <c r="C14" s="40" t="s">
        <v>68</v>
      </c>
      <c r="D14" s="54" t="s">
        <v>69</v>
      </c>
      <c r="E14" s="42">
        <v>310</v>
      </c>
      <c r="F14" s="43" t="s">
        <v>70</v>
      </c>
      <c r="G14" s="44">
        <f t="shared" si="0"/>
        <v>50000000</v>
      </c>
      <c r="H14" s="45">
        <v>90000000</v>
      </c>
      <c r="I14" s="45">
        <f t="shared" si="11"/>
        <v>40000000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>
        <v>50000000</v>
      </c>
      <c r="AA14" s="44"/>
      <c r="AB14" s="44"/>
      <c r="AC14" s="44"/>
      <c r="AD14" s="44"/>
      <c r="AE14" s="44"/>
      <c r="AF14" s="44">
        <f>8000000-8000000</f>
        <v>0</v>
      </c>
      <c r="AG14" s="46">
        <f t="shared" si="1"/>
        <v>1</v>
      </c>
      <c r="AH14" s="44">
        <f t="shared" si="2"/>
        <v>50000000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>
        <f>+'[8]Acuerdo PLAN INVERSIÓN 2021'!$Z$90</f>
        <v>50000000</v>
      </c>
      <c r="AZ14" s="44"/>
      <c r="BA14" s="44"/>
      <c r="BB14" s="44"/>
      <c r="BC14" s="44"/>
      <c r="BD14" s="44"/>
      <c r="BE14" s="44"/>
      <c r="BF14" s="46">
        <f t="shared" si="12"/>
        <v>0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>
        <f t="shared" si="6"/>
        <v>0.17158925999999999</v>
      </c>
      <c r="CF14" s="44">
        <f t="shared" si="7"/>
        <v>8579463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>
        <f>+'[5]Acuerdo PLAN INVERSIÓN 2021'!$H$217</f>
        <v>8579463</v>
      </c>
      <c r="CX14" s="44"/>
      <c r="CY14" s="44"/>
      <c r="CZ14" s="44"/>
      <c r="DA14" s="44"/>
      <c r="DB14" s="44"/>
      <c r="DC14" s="44"/>
      <c r="DD14" s="46">
        <f t="shared" si="8"/>
        <v>0.82841074000000003</v>
      </c>
      <c r="DE14" s="44">
        <f t="shared" si="13"/>
        <v>41420537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41420537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</row>
    <row r="15" spans="1:137" ht="48" hidden="1" customHeight="1" x14ac:dyDescent="0.25">
      <c r="A15" s="52"/>
      <c r="B15" s="60"/>
      <c r="C15" s="40" t="s">
        <v>71</v>
      </c>
      <c r="D15" s="41" t="s">
        <v>72</v>
      </c>
      <c r="E15" s="42">
        <v>310</v>
      </c>
      <c r="F15" s="43" t="s">
        <v>73</v>
      </c>
      <c r="G15" s="44">
        <f t="shared" si="0"/>
        <v>461524882</v>
      </c>
      <c r="H15" s="45">
        <v>628000000</v>
      </c>
      <c r="I15" s="45">
        <f t="shared" si="11"/>
        <v>166475118</v>
      </c>
      <c r="J15" s="44"/>
      <c r="K15" s="44">
        <f>100000000+37117235</f>
        <v>137117235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f>1576587</f>
        <v>1576587</v>
      </c>
      <c r="V15" s="44"/>
      <c r="W15" s="44"/>
      <c r="X15" s="44"/>
      <c r="Y15" s="44"/>
      <c r="Z15" s="44">
        <v>262000000</v>
      </c>
      <c r="AA15" s="44"/>
      <c r="AB15" s="44"/>
      <c r="AC15" s="44"/>
      <c r="AD15" s="44"/>
      <c r="AE15" s="44"/>
      <c r="AF15" s="44">
        <f>20000000+20400000+5000000+10931060+4500000</f>
        <v>60831060</v>
      </c>
      <c r="AG15" s="46">
        <f t="shared" si="1"/>
        <v>0.88641871967370978</v>
      </c>
      <c r="AH15" s="44">
        <f t="shared" si="2"/>
        <v>409104295</v>
      </c>
      <c r="AI15" s="44"/>
      <c r="AJ15" s="44">
        <f>+'[6]Acuerdo PLAN INVERSIÓN 2021'!$J$202</f>
        <v>117117235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>
        <f>+'[9]Acuerdo PLAN INVERSIÓN 2021'!$AA$114</f>
        <v>262000000</v>
      </c>
      <c r="AZ15" s="44"/>
      <c r="BA15" s="44"/>
      <c r="BB15" s="44"/>
      <c r="BC15" s="44"/>
      <c r="BD15" s="44"/>
      <c r="BE15" s="44">
        <f>+'[5]Acuerdo PLAN INVERSIÓN 2021'!$AF$229</f>
        <v>29987060</v>
      </c>
      <c r="BF15" s="46">
        <f t="shared" si="12"/>
        <v>0.11358128032629022</v>
      </c>
      <c r="BG15" s="44">
        <f t="shared" si="3"/>
        <v>52420587</v>
      </c>
      <c r="BH15" s="44">
        <f t="shared" si="4"/>
        <v>0</v>
      </c>
      <c r="BI15" s="44">
        <f t="shared" si="4"/>
        <v>20000000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1576587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30844000</v>
      </c>
      <c r="CE15" s="46">
        <f t="shared" si="6"/>
        <v>0.43739341663490205</v>
      </c>
      <c r="CF15" s="44">
        <f t="shared" si="7"/>
        <v>201867945</v>
      </c>
      <c r="CG15" s="44"/>
      <c r="CH15" s="44">
        <f>+'[5]Acuerdo PLAN INVERSIÓN 2021'!$H$230+'[5]Acuerdo PLAN INVERSIÓN 2021'!$H$335+'[5]Acuerdo PLAN INVERSIÓN 2021'!$H$357+'[5]Acuerdo PLAN INVERSIÓN 2021'!$H$361+'[5]Acuerdo PLAN INVERSIÓN 2021'!$H$382+'[5]Acuerdo PLAN INVERSIÓN 2021'!$H$394</f>
        <v>89418632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>
        <f>+'[5]Acuerdo PLAN INVERSIÓN 2021'!$H$227-DC15-CH15</f>
        <v>85670635</v>
      </c>
      <c r="CX15" s="44"/>
      <c r="CY15" s="44"/>
      <c r="CZ15" s="44"/>
      <c r="DA15" s="44"/>
      <c r="DB15" s="44"/>
      <c r="DC15" s="44">
        <f>+'[5]Acuerdo PLAN INVERSIÓN 2021'!$H$339+'[5]Acuerdo PLAN INVERSIÓN 2021'!$H$346+'[5]Acuerdo PLAN INVERSIÓN 2021'!$H$354+'[5]Acuerdo PLAN INVERSIÓN 2021'!$H$367+'[5]Acuerdo PLAN INVERSIÓN 2021'!$H$373+'[5]Acuerdo PLAN INVERSIÓN 2021'!$H$376+'[5]Acuerdo PLAN INVERSIÓN 2021'!$H$385+'[5]Acuerdo PLAN INVERSIÓN 2021'!$H$390</f>
        <v>26778678</v>
      </c>
      <c r="DD15" s="46">
        <f t="shared" si="8"/>
        <v>0.56260658336509795</v>
      </c>
      <c r="DE15" s="44">
        <f t="shared" si="13"/>
        <v>259656937</v>
      </c>
      <c r="DF15" s="44">
        <f t="shared" si="9"/>
        <v>0</v>
      </c>
      <c r="DG15" s="44">
        <f t="shared" si="9"/>
        <v>47698603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1576587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176329365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34052382</v>
      </c>
    </row>
    <row r="16" spans="1:137" ht="26.25" hidden="1" customHeight="1" x14ac:dyDescent="0.25">
      <c r="A16" s="52"/>
      <c r="B16" s="61"/>
      <c r="C16" s="40" t="s">
        <v>74</v>
      </c>
      <c r="D16" s="41" t="s">
        <v>75</v>
      </c>
      <c r="E16" s="42">
        <v>310</v>
      </c>
      <c r="F16" s="43" t="s">
        <v>60</v>
      </c>
      <c r="G16" s="44">
        <f t="shared" si="0"/>
        <v>22066667</v>
      </c>
      <c r="H16" s="45">
        <v>80000000</v>
      </c>
      <c r="I16" s="45">
        <f t="shared" si="11"/>
        <v>57933333</v>
      </c>
      <c r="J16" s="44"/>
      <c r="K16" s="44">
        <f>2066667</f>
        <v>2066667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>
        <v>20000000</v>
      </c>
      <c r="AA16" s="44"/>
      <c r="AB16" s="44"/>
      <c r="AC16" s="44"/>
      <c r="AD16" s="44"/>
      <c r="AE16" s="44"/>
      <c r="AF16" s="44"/>
      <c r="AG16" s="46">
        <f t="shared" si="1"/>
        <v>0</v>
      </c>
      <c r="AH16" s="44">
        <f t="shared" si="2"/>
        <v>0</v>
      </c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2"/>
        <v>1</v>
      </c>
      <c r="BG16" s="44">
        <f t="shared" si="3"/>
        <v>22066667</v>
      </c>
      <c r="BH16" s="44">
        <f t="shared" si="4"/>
        <v>0</v>
      </c>
      <c r="BI16" s="44">
        <f t="shared" si="4"/>
        <v>2066667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20000000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</v>
      </c>
      <c r="CF16" s="44">
        <f t="shared" si="7"/>
        <v>0</v>
      </c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1</v>
      </c>
      <c r="DE16" s="44">
        <f t="shared" si="13"/>
        <v>22066667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20000000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</row>
    <row r="17" spans="1:137" ht="65.25" hidden="1" customHeight="1" x14ac:dyDescent="0.25">
      <c r="A17" s="52"/>
      <c r="B17" s="39" t="s">
        <v>76</v>
      </c>
      <c r="C17" s="62" t="s">
        <v>77</v>
      </c>
      <c r="D17" s="54" t="s">
        <v>78</v>
      </c>
      <c r="E17" s="42">
        <v>510</v>
      </c>
      <c r="F17" s="43" t="s">
        <v>79</v>
      </c>
      <c r="G17" s="44">
        <f t="shared" si="0"/>
        <v>313199723</v>
      </c>
      <c r="H17" s="45">
        <v>150000000</v>
      </c>
      <c r="I17" s="45">
        <f t="shared" si="11"/>
        <v>-163199723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>
        <v>100000000</v>
      </c>
      <c r="AA17" s="44"/>
      <c r="AB17" s="44">
        <f>34000000+73168075-10000000</f>
        <v>97168075</v>
      </c>
      <c r="AC17" s="44"/>
      <c r="AD17" s="44"/>
      <c r="AE17" s="44"/>
      <c r="AF17" s="44">
        <f>53000000+8000000+13750000+10000000+10000000+10284982+10996666</f>
        <v>116031648</v>
      </c>
      <c r="AG17" s="46">
        <f t="shared" si="1"/>
        <v>0.94317789993703161</v>
      </c>
      <c r="AH17" s="44">
        <f t="shared" si="2"/>
        <v>295403057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>
        <f>+'[10]Acuerdo PLAN INVERSIÓN 2021'!$Z$98</f>
        <v>100000000</v>
      </c>
      <c r="AZ17" s="44"/>
      <c r="BA17" s="44">
        <f>+'[1]Acuerdo PLAN INVERSIÓN 2021'!$Y$308</f>
        <v>93168075</v>
      </c>
      <c r="BB17" s="44"/>
      <c r="BC17" s="44"/>
      <c r="BD17" s="44"/>
      <c r="BE17" s="44">
        <f>+'[6]Acuerdo PLAN INVERSIÓN 2021'!$AF$362</f>
        <v>102234982</v>
      </c>
      <c r="BF17" s="46">
        <f t="shared" si="12"/>
        <v>5.6822100062968395E-2</v>
      </c>
      <c r="BG17" s="44">
        <f t="shared" si="3"/>
        <v>17796666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0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4000000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13796666</v>
      </c>
      <c r="CE17" s="46">
        <f t="shared" si="6"/>
        <v>0.9154085075611641</v>
      </c>
      <c r="CF17" s="44">
        <f t="shared" si="7"/>
        <v>286705691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>
        <f>+'[6]Acuerdo PLAN INVERSIÓN 2021'!$H$363</f>
        <v>99968332</v>
      </c>
      <c r="CX17" s="44"/>
      <c r="CY17" s="44">
        <f>+'[6]Acuerdo PLAN INVERSIÓN 2021'!$H$403+'[6]Acuerdo PLAN INVERSIÓN 2021'!$H$419</f>
        <v>87703330</v>
      </c>
      <c r="CZ17" s="44"/>
      <c r="DA17" s="44"/>
      <c r="DB17" s="44"/>
      <c r="DC17" s="44">
        <f>+'[6]Acuerdo PLAN INVERSIÓN 2021'!$H$372+'[6]Acuerdo PLAN INVERSIÓN 2021'!$H$376+'[6]Acuerdo PLAN INVERSIÓN 2021'!$H$379+'[6]Acuerdo PLAN INVERSIÓN 2021'!$H$382+'[6]Acuerdo PLAN INVERSIÓN 2021'!$H$385+'[6]Acuerdo PLAN INVERSIÓN 2021'!$H$388+'[6]Acuerdo PLAN INVERSIÓN 2021'!$H$392+'[6]Acuerdo PLAN INVERSIÓN 2021'!$H$395+'[6]Acuerdo PLAN INVERSIÓN 2021'!$H$399+'[6]Acuerdo PLAN INVERSIÓN 2021'!$H$411+'[6]Acuerdo PLAN INVERSIÓN 2021'!$H$414+'[6]Acuerdo PLAN INVERSIÓN 2021'!$H$429+'[6]Acuerdo PLAN INVERSIÓN 2021'!$H$432+'[5]Acuerdo PLAN INVERSIÓN 2021'!$H$507</f>
        <v>99034029</v>
      </c>
      <c r="DD17" s="46">
        <f t="shared" si="8"/>
        <v>8.4591492438835902E-2</v>
      </c>
      <c r="DE17" s="44">
        <f t="shared" si="13"/>
        <v>26494032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0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31668</v>
      </c>
      <c r="DW17" s="44">
        <f t="shared" si="10"/>
        <v>0</v>
      </c>
      <c r="DX17" s="44">
        <f t="shared" si="10"/>
        <v>9464745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16997619</v>
      </c>
    </row>
    <row r="18" spans="1:137" ht="33.6" hidden="1" customHeight="1" x14ac:dyDescent="0.25">
      <c r="A18" s="52"/>
      <c r="B18" s="51"/>
      <c r="C18" s="40" t="s">
        <v>80</v>
      </c>
      <c r="D18" s="41" t="s">
        <v>81</v>
      </c>
      <c r="E18" s="42">
        <v>510</v>
      </c>
      <c r="F18" s="43" t="s">
        <v>60</v>
      </c>
      <c r="G18" s="44">
        <f t="shared" si="0"/>
        <v>7236308</v>
      </c>
      <c r="H18" s="45">
        <v>51000000</v>
      </c>
      <c r="I18" s="45">
        <f t="shared" si="11"/>
        <v>43763692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2236308</f>
        <v>2236308</v>
      </c>
      <c r="V18" s="44"/>
      <c r="W18" s="44"/>
      <c r="X18" s="44"/>
      <c r="Y18" s="44"/>
      <c r="Z18" s="44">
        <v>5000000</v>
      </c>
      <c r="AA18" s="44"/>
      <c r="AB18" s="44"/>
      <c r="AC18" s="44"/>
      <c r="AD18" s="44"/>
      <c r="AE18" s="44"/>
      <c r="AF18" s="44"/>
      <c r="AG18" s="46">
        <f t="shared" si="1"/>
        <v>0</v>
      </c>
      <c r="AH18" s="44">
        <f t="shared" si="2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2"/>
        <v>1</v>
      </c>
      <c r="BG18" s="44">
        <f t="shared" si="3"/>
        <v>7236308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2236308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5000000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3"/>
        <v>7236308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2236308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5000000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0</v>
      </c>
    </row>
    <row r="19" spans="1:137" ht="33" hidden="1" customHeight="1" x14ac:dyDescent="0.25">
      <c r="A19" s="52"/>
      <c r="B19" s="63"/>
      <c r="C19" s="40" t="s">
        <v>82</v>
      </c>
      <c r="D19" s="41" t="s">
        <v>83</v>
      </c>
      <c r="E19" s="42">
        <v>510</v>
      </c>
      <c r="F19" s="43" t="s">
        <v>60</v>
      </c>
      <c r="G19" s="44">
        <f t="shared" si="0"/>
        <v>108281335</v>
      </c>
      <c r="H19" s="45">
        <v>100000000</v>
      </c>
      <c r="I19" s="45">
        <f t="shared" si="11"/>
        <v>-8281335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v>281335</v>
      </c>
      <c r="V19" s="44"/>
      <c r="W19" s="44"/>
      <c r="X19" s="44"/>
      <c r="Y19" s="44"/>
      <c r="Z19" s="44">
        <v>108000000</v>
      </c>
      <c r="AA19" s="44"/>
      <c r="AB19" s="44"/>
      <c r="AC19" s="44"/>
      <c r="AD19" s="44"/>
      <c r="AE19" s="44"/>
      <c r="AF19" s="44"/>
      <c r="AG19" s="46">
        <f t="shared" si="1"/>
        <v>0.99740181444936937</v>
      </c>
      <c r="AH19" s="44">
        <f t="shared" si="2"/>
        <v>108000000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>
        <f>+'[10]Acuerdo PLAN INVERSIÓN 2021'!$Z$118</f>
        <v>108000000</v>
      </c>
      <c r="AZ19" s="44"/>
      <c r="BA19" s="44"/>
      <c r="BB19" s="44"/>
      <c r="BC19" s="44"/>
      <c r="BD19" s="44"/>
      <c r="BE19" s="44"/>
      <c r="BF19" s="46">
        <f t="shared" si="12"/>
        <v>2.5981855506306273E-3</v>
      </c>
      <c r="BG19" s="44">
        <f t="shared" si="3"/>
        <v>281335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281335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0.99740181444936937</v>
      </c>
      <c r="CF19" s="44">
        <f t="shared" si="7"/>
        <v>108000000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>
        <f>+'[1]Acuerdo PLAN INVERSIÓN 2021'!$H$382</f>
        <v>108000000</v>
      </c>
      <c r="CX19" s="44"/>
      <c r="CY19" s="44"/>
      <c r="CZ19" s="44"/>
      <c r="DA19" s="44"/>
      <c r="DB19" s="44"/>
      <c r="DC19" s="44"/>
      <c r="DD19" s="46">
        <f t="shared" si="8"/>
        <v>2.5981855506306273E-3</v>
      </c>
      <c r="DE19" s="44">
        <f t="shared" si="13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</row>
    <row r="20" spans="1:137" ht="51" hidden="1" customHeight="1" x14ac:dyDescent="0.25">
      <c r="A20" s="52"/>
      <c r="B20" s="64" t="s">
        <v>84</v>
      </c>
      <c r="C20" s="59" t="s">
        <v>85</v>
      </c>
      <c r="D20" s="54" t="s">
        <v>86</v>
      </c>
      <c r="E20" s="42">
        <v>510</v>
      </c>
      <c r="F20" s="65" t="s">
        <v>87</v>
      </c>
      <c r="G20" s="44">
        <f t="shared" si="0"/>
        <v>18620000</v>
      </c>
      <c r="H20" s="45">
        <v>20000000</v>
      </c>
      <c r="I20" s="45">
        <f t="shared" si="11"/>
        <v>1380000</v>
      </c>
      <c r="J20" s="44"/>
      <c r="K20" s="44">
        <v>12620000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>
        <v>6000000</v>
      </c>
      <c r="AA20" s="44"/>
      <c r="AB20" s="44"/>
      <c r="AC20" s="44"/>
      <c r="AD20" s="44"/>
      <c r="AE20" s="44"/>
      <c r="AF20" s="44"/>
      <c r="AG20" s="46">
        <f t="shared" si="1"/>
        <v>0</v>
      </c>
      <c r="AH20" s="44">
        <f t="shared" si="2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2"/>
        <v>1</v>
      </c>
      <c r="BG20" s="44">
        <f t="shared" si="3"/>
        <v>18620000</v>
      </c>
      <c r="BH20" s="44">
        <f t="shared" si="4"/>
        <v>0</v>
      </c>
      <c r="BI20" s="44">
        <f t="shared" si="4"/>
        <v>12620000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6000000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3"/>
        <v>18620000</v>
      </c>
      <c r="DF20" s="44">
        <f t="shared" si="9"/>
        <v>0</v>
      </c>
      <c r="DG20" s="44">
        <f t="shared" si="9"/>
        <v>12620000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6000000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</row>
    <row r="21" spans="1:137" ht="34.5" hidden="1" customHeight="1" x14ac:dyDescent="0.25">
      <c r="A21" s="52"/>
      <c r="B21" s="39" t="s">
        <v>88</v>
      </c>
      <c r="C21" s="59" t="s">
        <v>89</v>
      </c>
      <c r="D21" s="54" t="s">
        <v>90</v>
      </c>
      <c r="E21" s="42">
        <v>510</v>
      </c>
      <c r="F21" s="43" t="s">
        <v>91</v>
      </c>
      <c r="G21" s="44">
        <f t="shared" si="0"/>
        <v>15146334</v>
      </c>
      <c r="H21" s="45">
        <v>20000000</v>
      </c>
      <c r="I21" s="45">
        <f t="shared" si="11"/>
        <v>4853666</v>
      </c>
      <c r="J21" s="44"/>
      <c r="K21" s="44">
        <v>146334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>
        <v>15000000</v>
      </c>
      <c r="AA21" s="44"/>
      <c r="AB21" s="44"/>
      <c r="AC21" s="44"/>
      <c r="AD21" s="44"/>
      <c r="AE21" s="44"/>
      <c r="AF21" s="44"/>
      <c r="AG21" s="46">
        <f t="shared" si="1"/>
        <v>0.99033865224416684</v>
      </c>
      <c r="AH21" s="44">
        <f t="shared" si="2"/>
        <v>15000000</v>
      </c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>
        <f>+'[7]Acuerdo PLAN INVERSIÓN 2021'!$AA$241</f>
        <v>15000000</v>
      </c>
      <c r="AZ21" s="44"/>
      <c r="BA21" s="44"/>
      <c r="BB21" s="44"/>
      <c r="BC21" s="44"/>
      <c r="BD21" s="44"/>
      <c r="BE21" s="44"/>
      <c r="BF21" s="46">
        <f t="shared" si="12"/>
        <v>9.6613477558331606E-3</v>
      </c>
      <c r="BG21" s="44">
        <f t="shared" si="3"/>
        <v>146334</v>
      </c>
      <c r="BH21" s="44">
        <f t="shared" si="4"/>
        <v>0</v>
      </c>
      <c r="BI21" s="44">
        <f t="shared" si="4"/>
        <v>146334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0.99033865224416684</v>
      </c>
      <c r="CF21" s="44">
        <f t="shared" si="7"/>
        <v>15000000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>
        <f>+'[4]Acuerdo PLAN INVERSIÓN 2021'!$H$277</f>
        <v>15000000</v>
      </c>
      <c r="CX21" s="44"/>
      <c r="CY21" s="44"/>
      <c r="CZ21" s="44"/>
      <c r="DA21" s="44"/>
      <c r="DB21" s="44"/>
      <c r="DC21" s="44"/>
      <c r="DD21" s="46">
        <f t="shared" si="8"/>
        <v>9.6613477558331606E-3</v>
      </c>
      <c r="DE21" s="44">
        <f t="shared" si="13"/>
        <v>146334</v>
      </c>
      <c r="DF21" s="44">
        <f t="shared" si="9"/>
        <v>0</v>
      </c>
      <c r="DG21" s="44">
        <f t="shared" si="9"/>
        <v>146334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</row>
    <row r="22" spans="1:137" ht="39.75" hidden="1" customHeight="1" x14ac:dyDescent="0.25">
      <c r="A22" s="52"/>
      <c r="B22" s="51"/>
      <c r="C22" s="59" t="s">
        <v>92</v>
      </c>
      <c r="D22" s="54" t="s">
        <v>93</v>
      </c>
      <c r="E22" s="42">
        <v>510</v>
      </c>
      <c r="F22" s="43" t="s">
        <v>94</v>
      </c>
      <c r="G22" s="44">
        <f t="shared" si="0"/>
        <v>98465974</v>
      </c>
      <c r="H22" s="45">
        <v>150000000</v>
      </c>
      <c r="I22" s="45">
        <f t="shared" si="11"/>
        <v>51534026</v>
      </c>
      <c r="J22" s="44"/>
      <c r="K22" s="44">
        <f>65000000+1465974</f>
        <v>66465974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32000000+5000000-5000000</f>
        <v>32000000</v>
      </c>
      <c r="AG22" s="46">
        <f t="shared" si="1"/>
        <v>0.76276772522455316</v>
      </c>
      <c r="AH22" s="44">
        <f t="shared" si="2"/>
        <v>75106667</v>
      </c>
      <c r="AI22" s="44"/>
      <c r="AJ22" s="44">
        <f>+'[5]Acuerdo PLAN INVERSIÓN 2021'!$J$547</f>
        <v>57106667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+'[2]Acuerdo PLAN INVERSIÓN 2021'!$AF$362</f>
        <v>18000000</v>
      </c>
      <c r="BF22" s="46">
        <f t="shared" si="12"/>
        <v>0.23723227477544684</v>
      </c>
      <c r="BG22" s="44">
        <f t="shared" si="3"/>
        <v>23359307</v>
      </c>
      <c r="BH22" s="44">
        <f t="shared" ref="BH22:BV23" si="14">+J22-AI22</f>
        <v>0</v>
      </c>
      <c r="BI22" s="44">
        <f t="shared" si="14"/>
        <v>9359307</v>
      </c>
      <c r="BJ22" s="44">
        <f t="shared" si="14"/>
        <v>0</v>
      </c>
      <c r="BK22" s="44">
        <f t="shared" si="14"/>
        <v>0</v>
      </c>
      <c r="BL22" s="44">
        <f t="shared" si="14"/>
        <v>0</v>
      </c>
      <c r="BM22" s="44">
        <f t="shared" si="14"/>
        <v>0</v>
      </c>
      <c r="BN22" s="44">
        <f t="shared" si="14"/>
        <v>0</v>
      </c>
      <c r="BO22" s="44">
        <f t="shared" si="14"/>
        <v>0</v>
      </c>
      <c r="BP22" s="44">
        <f t="shared" si="14"/>
        <v>0</v>
      </c>
      <c r="BQ22" s="44">
        <f t="shared" si="14"/>
        <v>0</v>
      </c>
      <c r="BR22" s="44">
        <f t="shared" si="14"/>
        <v>0</v>
      </c>
      <c r="BS22" s="44">
        <f t="shared" si="14"/>
        <v>0</v>
      </c>
      <c r="BT22" s="44">
        <f t="shared" si="14"/>
        <v>0</v>
      </c>
      <c r="BU22" s="44">
        <f t="shared" si="14"/>
        <v>0</v>
      </c>
      <c r="BV22" s="44">
        <f t="shared" si="14"/>
        <v>0</v>
      </c>
      <c r="BW22" s="44">
        <f>+Y22-AX22</f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14000000</v>
      </c>
      <c r="CE22" s="46">
        <f t="shared" si="6"/>
        <v>0.73085388867427448</v>
      </c>
      <c r="CF22" s="44">
        <f t="shared" si="7"/>
        <v>71964240</v>
      </c>
      <c r="CG22" s="44"/>
      <c r="CH22" s="44">
        <f>+'[5]Acuerdo PLAN INVERSIÓN 2021'!$H$548+'[5]Acuerdo PLAN INVERSIÓN 2021'!$H$551+'[5]Acuerdo PLAN INVERSIÓN 2021'!$H$565+'[5]Acuerdo PLAN INVERSIÓN 2021'!$H$576</f>
        <v>55163242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+'[5]Acuerdo PLAN INVERSIÓN 2021'!$H$554+'[5]Acuerdo PLAN INVERSIÓN 2021'!$H$557+'[5]Acuerdo PLAN INVERSIÓN 2021'!$H$560+'[5]Acuerdo PLAN INVERSIÓN 2021'!$H$572</f>
        <v>16800998</v>
      </c>
      <c r="DD22" s="46">
        <f t="shared" si="8"/>
        <v>0.26914611132572552</v>
      </c>
      <c r="DE22" s="44">
        <f t="shared" si="13"/>
        <v>26501734</v>
      </c>
      <c r="DF22" s="44">
        <f t="shared" ref="DF22:DT23" si="15">+J22-CG22</f>
        <v>0</v>
      </c>
      <c r="DG22" s="44">
        <f t="shared" si="15"/>
        <v>11302732</v>
      </c>
      <c r="DH22" s="44">
        <f t="shared" si="15"/>
        <v>0</v>
      </c>
      <c r="DI22" s="44">
        <f t="shared" si="15"/>
        <v>0</v>
      </c>
      <c r="DJ22" s="44">
        <f t="shared" si="15"/>
        <v>0</v>
      </c>
      <c r="DK22" s="44">
        <f t="shared" si="15"/>
        <v>0</v>
      </c>
      <c r="DL22" s="44">
        <f t="shared" si="15"/>
        <v>0</v>
      </c>
      <c r="DM22" s="44">
        <f t="shared" si="15"/>
        <v>0</v>
      </c>
      <c r="DN22" s="44">
        <f t="shared" si="15"/>
        <v>0</v>
      </c>
      <c r="DO22" s="44">
        <f t="shared" si="15"/>
        <v>0</v>
      </c>
      <c r="DP22" s="44">
        <f t="shared" si="15"/>
        <v>0</v>
      </c>
      <c r="DQ22" s="44">
        <f t="shared" si="15"/>
        <v>0</v>
      </c>
      <c r="DR22" s="44">
        <f t="shared" si="15"/>
        <v>0</v>
      </c>
      <c r="DS22" s="44">
        <f t="shared" si="15"/>
        <v>0</v>
      </c>
      <c r="DT22" s="44">
        <f t="shared" si="15"/>
        <v>0</v>
      </c>
      <c r="DU22" s="44">
        <f>+Y22-CV22</f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15199002</v>
      </c>
    </row>
    <row r="23" spans="1:137" ht="36" hidden="1" customHeight="1" x14ac:dyDescent="0.25">
      <c r="A23" s="52"/>
      <c r="B23" s="63"/>
      <c r="C23" s="59" t="s">
        <v>95</v>
      </c>
      <c r="D23" s="54" t="s">
        <v>96</v>
      </c>
      <c r="E23" s="42">
        <v>510</v>
      </c>
      <c r="F23" s="43" t="s">
        <v>91</v>
      </c>
      <c r="G23" s="44">
        <f t="shared" si="0"/>
        <v>29046667</v>
      </c>
      <c r="H23" s="45">
        <v>100000000</v>
      </c>
      <c r="I23" s="45">
        <f t="shared" si="11"/>
        <v>70953333</v>
      </c>
      <c r="J23" s="44"/>
      <c r="K23" s="44">
        <v>8227425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v>5819242</v>
      </c>
      <c r="V23" s="44"/>
      <c r="W23" s="44"/>
      <c r="X23" s="44"/>
      <c r="Y23" s="44"/>
      <c r="Z23" s="44">
        <v>15000000</v>
      </c>
      <c r="AA23" s="44"/>
      <c r="AB23" s="44"/>
      <c r="AC23" s="44"/>
      <c r="AD23" s="44"/>
      <c r="AE23" s="44"/>
      <c r="AF23" s="44"/>
      <c r="AG23" s="46">
        <f t="shared" si="1"/>
        <v>1</v>
      </c>
      <c r="AH23" s="44">
        <f t="shared" si="2"/>
        <v>29046667</v>
      </c>
      <c r="AI23" s="44"/>
      <c r="AJ23" s="44">
        <f>+'[5]Acuerdo PLAN INVERSIÓN 2021'!$J$581</f>
        <v>8227425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>
        <f>+'[11]Acuerdo PLAN INVERSIÓN 2021'!$O$217</f>
        <v>5819242</v>
      </c>
      <c r="AU23" s="44"/>
      <c r="AV23" s="44"/>
      <c r="AW23" s="44"/>
      <c r="AX23" s="44"/>
      <c r="AY23" s="44">
        <f>+'[6]Acuerdo PLAN INVERSIÓN 2021'!$AA$499</f>
        <v>15000000</v>
      </c>
      <c r="AZ23" s="44"/>
      <c r="BA23" s="44"/>
      <c r="BB23" s="44"/>
      <c r="BC23" s="44"/>
      <c r="BD23" s="44"/>
      <c r="BE23" s="44"/>
      <c r="BF23" s="46">
        <f t="shared" si="12"/>
        <v>0</v>
      </c>
      <c r="BG23" s="44">
        <f t="shared" si="3"/>
        <v>0</v>
      </c>
      <c r="BH23" s="44">
        <f t="shared" si="14"/>
        <v>0</v>
      </c>
      <c r="BI23" s="44">
        <f t="shared" si="14"/>
        <v>0</v>
      </c>
      <c r="BJ23" s="44">
        <f t="shared" si="14"/>
        <v>0</v>
      </c>
      <c r="BK23" s="44">
        <f t="shared" si="14"/>
        <v>0</v>
      </c>
      <c r="BL23" s="44">
        <f t="shared" si="14"/>
        <v>0</v>
      </c>
      <c r="BM23" s="44">
        <f t="shared" si="14"/>
        <v>0</v>
      </c>
      <c r="BN23" s="44">
        <f t="shared" si="14"/>
        <v>0</v>
      </c>
      <c r="BO23" s="44">
        <f t="shared" si="14"/>
        <v>0</v>
      </c>
      <c r="BP23" s="44">
        <f t="shared" si="14"/>
        <v>0</v>
      </c>
      <c r="BQ23" s="44">
        <f t="shared" si="14"/>
        <v>0</v>
      </c>
      <c r="BR23" s="44">
        <f t="shared" si="14"/>
        <v>0</v>
      </c>
      <c r="BS23" s="44">
        <f t="shared" si="14"/>
        <v>0</v>
      </c>
      <c r="BT23" s="44">
        <f t="shared" si="14"/>
        <v>0</v>
      </c>
      <c r="BU23" s="44">
        <f t="shared" si="14"/>
        <v>0</v>
      </c>
      <c r="BV23" s="44">
        <f t="shared" si="14"/>
        <v>0</v>
      </c>
      <c r="BW23" s="44">
        <f>+Y23-AX23</f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0.70644941810363304</v>
      </c>
      <c r="CF23" s="44">
        <f t="shared" si="7"/>
        <v>20520001</v>
      </c>
      <c r="CG23" s="44"/>
      <c r="CH23" s="44">
        <f>+'[9]Acuerdo PLAN INVERSIÓN 2021'!$H$253</f>
        <v>6114092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>
        <f>+'[9]Acuerdo PLAN INVERSIÓN 2021'!$H$249</f>
        <v>5819242</v>
      </c>
      <c r="CS23" s="44"/>
      <c r="CT23" s="44"/>
      <c r="CU23" s="44"/>
      <c r="CV23" s="44"/>
      <c r="CW23" s="44">
        <f>+'[5]Acuerdo PLAN INVERSIÓN 2021'!$H$590</f>
        <v>8586667</v>
      </c>
      <c r="CX23" s="44"/>
      <c r="CY23" s="44"/>
      <c r="CZ23" s="44"/>
      <c r="DA23" s="44"/>
      <c r="DB23" s="44"/>
      <c r="DC23" s="44"/>
      <c r="DD23" s="46">
        <f t="shared" si="8"/>
        <v>0.29355058189636696</v>
      </c>
      <c r="DE23" s="44">
        <f t="shared" si="13"/>
        <v>8526666</v>
      </c>
      <c r="DF23" s="44">
        <f t="shared" si="15"/>
        <v>0</v>
      </c>
      <c r="DG23" s="44">
        <f t="shared" si="15"/>
        <v>2113333</v>
      </c>
      <c r="DH23" s="44">
        <f t="shared" si="15"/>
        <v>0</v>
      </c>
      <c r="DI23" s="44">
        <f t="shared" si="15"/>
        <v>0</v>
      </c>
      <c r="DJ23" s="44">
        <f t="shared" si="15"/>
        <v>0</v>
      </c>
      <c r="DK23" s="44">
        <f t="shared" si="15"/>
        <v>0</v>
      </c>
      <c r="DL23" s="44">
        <f t="shared" si="15"/>
        <v>0</v>
      </c>
      <c r="DM23" s="44">
        <f t="shared" si="15"/>
        <v>0</v>
      </c>
      <c r="DN23" s="44">
        <f t="shared" si="15"/>
        <v>0</v>
      </c>
      <c r="DO23" s="44">
        <f t="shared" si="15"/>
        <v>0</v>
      </c>
      <c r="DP23" s="44">
        <f t="shared" si="15"/>
        <v>0</v>
      </c>
      <c r="DQ23" s="44">
        <f t="shared" si="15"/>
        <v>0</v>
      </c>
      <c r="DR23" s="44">
        <f t="shared" si="15"/>
        <v>0</v>
      </c>
      <c r="DS23" s="44">
        <f t="shared" si="15"/>
        <v>0</v>
      </c>
      <c r="DT23" s="44">
        <f t="shared" si="15"/>
        <v>0</v>
      </c>
      <c r="DU23" s="44">
        <f>+Y23-CV23</f>
        <v>0</v>
      </c>
      <c r="DV23" s="44">
        <f t="shared" si="10"/>
        <v>6413333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</row>
    <row r="24" spans="1:137" s="74" customFormat="1" ht="17.25" customHeight="1" thickBot="1" x14ac:dyDescent="0.3">
      <c r="A24" s="66"/>
      <c r="B24" s="186" t="s">
        <v>97</v>
      </c>
      <c r="C24" s="186"/>
      <c r="D24" s="186"/>
      <c r="E24" s="186"/>
      <c r="F24" s="68"/>
      <c r="G24" s="69">
        <f t="shared" ref="G24:AF24" si="16">SUM(G6:G23)</f>
        <v>2672814183</v>
      </c>
      <c r="H24" s="70">
        <f t="shared" si="16"/>
        <v>2981877636</v>
      </c>
      <c r="I24" s="70">
        <f t="shared" si="16"/>
        <v>309063453</v>
      </c>
      <c r="J24" s="69">
        <f t="shared" si="16"/>
        <v>0</v>
      </c>
      <c r="K24" s="69">
        <f t="shared" si="16"/>
        <v>462145120</v>
      </c>
      <c r="L24" s="69">
        <f t="shared" si="16"/>
        <v>0</v>
      </c>
      <c r="M24" s="69">
        <f t="shared" si="16"/>
        <v>592050814</v>
      </c>
      <c r="N24" s="69">
        <f t="shared" si="16"/>
        <v>0</v>
      </c>
      <c r="O24" s="69">
        <f t="shared" si="16"/>
        <v>0</v>
      </c>
      <c r="P24" s="69">
        <f t="shared" si="16"/>
        <v>0</v>
      </c>
      <c r="Q24" s="69">
        <f t="shared" si="16"/>
        <v>0</v>
      </c>
      <c r="R24" s="69">
        <f t="shared" si="16"/>
        <v>0</v>
      </c>
      <c r="S24" s="69">
        <f t="shared" si="16"/>
        <v>0</v>
      </c>
      <c r="T24" s="69">
        <f t="shared" si="16"/>
        <v>0</v>
      </c>
      <c r="U24" s="69">
        <f t="shared" si="16"/>
        <v>31272076</v>
      </c>
      <c r="V24" s="69">
        <f t="shared" si="16"/>
        <v>0</v>
      </c>
      <c r="W24" s="69">
        <f t="shared" si="16"/>
        <v>0</v>
      </c>
      <c r="X24" s="69">
        <f t="shared" si="16"/>
        <v>0</v>
      </c>
      <c r="Y24" s="69">
        <f t="shared" si="16"/>
        <v>0</v>
      </c>
      <c r="Z24" s="69">
        <f t="shared" si="16"/>
        <v>752000000</v>
      </c>
      <c r="AA24" s="69">
        <f t="shared" si="16"/>
        <v>13636130</v>
      </c>
      <c r="AB24" s="69">
        <f t="shared" si="16"/>
        <v>97168075</v>
      </c>
      <c r="AC24" s="69">
        <f t="shared" si="16"/>
        <v>0</v>
      </c>
      <c r="AD24" s="69">
        <f t="shared" si="16"/>
        <v>0</v>
      </c>
      <c r="AE24" s="69">
        <f t="shared" si="16"/>
        <v>422607964</v>
      </c>
      <c r="AF24" s="69">
        <f t="shared" si="16"/>
        <v>301934004</v>
      </c>
      <c r="AG24" s="71">
        <f t="shared" si="1"/>
        <v>0.88906573757132745</v>
      </c>
      <c r="AH24" s="72">
        <f>SUM(AH6:AH23)</f>
        <v>2376307513</v>
      </c>
      <c r="AI24" s="72">
        <f t="shared" ref="AI24:BE24" si="17">SUM(AI6:AI23)</f>
        <v>0</v>
      </c>
      <c r="AJ24" s="72">
        <f t="shared" si="17"/>
        <v>382414153</v>
      </c>
      <c r="AK24" s="72">
        <f t="shared" si="17"/>
        <v>0</v>
      </c>
      <c r="AL24" s="72">
        <f t="shared" si="17"/>
        <v>592050814</v>
      </c>
      <c r="AM24" s="72">
        <f t="shared" si="17"/>
        <v>0</v>
      </c>
      <c r="AN24" s="72">
        <f t="shared" si="17"/>
        <v>0</v>
      </c>
      <c r="AO24" s="72">
        <f t="shared" si="17"/>
        <v>0</v>
      </c>
      <c r="AP24" s="72">
        <f t="shared" si="17"/>
        <v>0</v>
      </c>
      <c r="AQ24" s="72">
        <f t="shared" si="17"/>
        <v>0</v>
      </c>
      <c r="AR24" s="72">
        <f t="shared" si="17"/>
        <v>0</v>
      </c>
      <c r="AS24" s="72">
        <f t="shared" si="17"/>
        <v>0</v>
      </c>
      <c r="AT24" s="72">
        <f t="shared" si="17"/>
        <v>27177846</v>
      </c>
      <c r="AU24" s="72">
        <f t="shared" si="17"/>
        <v>0</v>
      </c>
      <c r="AV24" s="72">
        <f t="shared" si="17"/>
        <v>0</v>
      </c>
      <c r="AW24" s="72">
        <f t="shared" si="17"/>
        <v>0</v>
      </c>
      <c r="AX24" s="72">
        <f t="shared" si="17"/>
        <v>0</v>
      </c>
      <c r="AY24" s="72">
        <f t="shared" si="17"/>
        <v>637000000</v>
      </c>
      <c r="AZ24" s="72">
        <f t="shared" si="17"/>
        <v>0</v>
      </c>
      <c r="BA24" s="72">
        <f t="shared" si="17"/>
        <v>93168075</v>
      </c>
      <c r="BB24" s="72">
        <f t="shared" si="17"/>
        <v>0</v>
      </c>
      <c r="BC24" s="72">
        <f t="shared" si="17"/>
        <v>0</v>
      </c>
      <c r="BD24" s="72">
        <f t="shared" si="17"/>
        <v>422607964</v>
      </c>
      <c r="BE24" s="72">
        <f t="shared" si="17"/>
        <v>221888661</v>
      </c>
      <c r="BF24" s="73">
        <f t="shared" si="12"/>
        <v>0.11093426242867255</v>
      </c>
      <c r="BG24" s="72">
        <f t="shared" ref="BG24:DC24" si="18">SUM(BG6:BG23)</f>
        <v>296506670</v>
      </c>
      <c r="BH24" s="72">
        <f t="shared" si="18"/>
        <v>0</v>
      </c>
      <c r="BI24" s="72">
        <f t="shared" si="18"/>
        <v>79730967</v>
      </c>
      <c r="BJ24" s="72">
        <f t="shared" si="18"/>
        <v>0</v>
      </c>
      <c r="BK24" s="72">
        <f t="shared" si="18"/>
        <v>0</v>
      </c>
      <c r="BL24" s="72">
        <f t="shared" si="18"/>
        <v>0</v>
      </c>
      <c r="BM24" s="72">
        <f t="shared" si="18"/>
        <v>0</v>
      </c>
      <c r="BN24" s="72">
        <f t="shared" si="18"/>
        <v>0</v>
      </c>
      <c r="BO24" s="72">
        <f t="shared" si="18"/>
        <v>0</v>
      </c>
      <c r="BP24" s="72">
        <f t="shared" si="18"/>
        <v>0</v>
      </c>
      <c r="BQ24" s="72">
        <f t="shared" si="18"/>
        <v>0</v>
      </c>
      <c r="BR24" s="72">
        <f t="shared" si="18"/>
        <v>0</v>
      </c>
      <c r="BS24" s="72">
        <f t="shared" si="18"/>
        <v>4094230</v>
      </c>
      <c r="BT24" s="72">
        <f t="shared" si="18"/>
        <v>0</v>
      </c>
      <c r="BU24" s="72">
        <f t="shared" si="18"/>
        <v>0</v>
      </c>
      <c r="BV24" s="72">
        <f t="shared" si="18"/>
        <v>0</v>
      </c>
      <c r="BW24" s="72">
        <f t="shared" si="18"/>
        <v>0</v>
      </c>
      <c r="BX24" s="72">
        <f t="shared" si="18"/>
        <v>115000000</v>
      </c>
      <c r="BY24" s="72">
        <f t="shared" si="18"/>
        <v>13636130</v>
      </c>
      <c r="BZ24" s="72">
        <f t="shared" si="18"/>
        <v>4000000</v>
      </c>
      <c r="CA24" s="72">
        <f t="shared" si="18"/>
        <v>0</v>
      </c>
      <c r="CB24" s="72">
        <f t="shared" si="18"/>
        <v>0</v>
      </c>
      <c r="CC24" s="72">
        <f t="shared" si="18"/>
        <v>0</v>
      </c>
      <c r="CD24" s="72">
        <f t="shared" si="18"/>
        <v>80045343</v>
      </c>
      <c r="CE24" s="73">
        <f t="shared" si="6"/>
        <v>0.4755737136852809</v>
      </c>
      <c r="CF24" s="72">
        <f t="shared" si="18"/>
        <v>1271120167</v>
      </c>
      <c r="CG24" s="72">
        <f t="shared" si="18"/>
        <v>0</v>
      </c>
      <c r="CH24" s="72">
        <f t="shared" si="18"/>
        <v>313354535</v>
      </c>
      <c r="CI24" s="72">
        <f t="shared" si="18"/>
        <v>0</v>
      </c>
      <c r="CJ24" s="72">
        <f t="shared" si="18"/>
        <v>227250473</v>
      </c>
      <c r="CK24" s="72">
        <f t="shared" si="18"/>
        <v>0</v>
      </c>
      <c r="CL24" s="72">
        <f t="shared" si="18"/>
        <v>0</v>
      </c>
      <c r="CM24" s="72">
        <f t="shared" si="18"/>
        <v>0</v>
      </c>
      <c r="CN24" s="72">
        <f t="shared" si="18"/>
        <v>0</v>
      </c>
      <c r="CO24" s="72">
        <f t="shared" si="18"/>
        <v>0</v>
      </c>
      <c r="CP24" s="72">
        <f t="shared" si="18"/>
        <v>0</v>
      </c>
      <c r="CQ24" s="72">
        <f t="shared" si="18"/>
        <v>0</v>
      </c>
      <c r="CR24" s="72">
        <f t="shared" si="18"/>
        <v>23994049</v>
      </c>
      <c r="CS24" s="72">
        <f t="shared" si="18"/>
        <v>0</v>
      </c>
      <c r="CT24" s="72">
        <f t="shared" si="18"/>
        <v>0</v>
      </c>
      <c r="CU24" s="72">
        <f t="shared" si="18"/>
        <v>0</v>
      </c>
      <c r="CV24" s="72">
        <f t="shared" si="18"/>
        <v>0</v>
      </c>
      <c r="CW24" s="72">
        <f t="shared" si="18"/>
        <v>406539056</v>
      </c>
      <c r="CX24" s="72">
        <f t="shared" si="18"/>
        <v>0</v>
      </c>
      <c r="CY24" s="72">
        <f t="shared" si="18"/>
        <v>87703330</v>
      </c>
      <c r="CZ24" s="72">
        <f t="shared" si="18"/>
        <v>0</v>
      </c>
      <c r="DA24" s="72">
        <f t="shared" si="18"/>
        <v>0</v>
      </c>
      <c r="DB24" s="72">
        <f t="shared" si="18"/>
        <v>0</v>
      </c>
      <c r="DC24" s="72">
        <f t="shared" si="18"/>
        <v>212278724</v>
      </c>
      <c r="DD24" s="73">
        <f t="shared" si="8"/>
        <v>0.5244262863147191</v>
      </c>
      <c r="DE24" s="72">
        <f>SUM(DE6:DE23)</f>
        <v>1401694016</v>
      </c>
      <c r="DF24" s="72">
        <f t="shared" ref="DF24:EB24" si="19">SUM(DF6:DF23)</f>
        <v>0</v>
      </c>
      <c r="DG24" s="72">
        <f t="shared" si="19"/>
        <v>148790585</v>
      </c>
      <c r="DH24" s="72">
        <f t="shared" si="19"/>
        <v>0</v>
      </c>
      <c r="DI24" s="72">
        <f t="shared" si="19"/>
        <v>364800341</v>
      </c>
      <c r="DJ24" s="72">
        <f t="shared" si="19"/>
        <v>0</v>
      </c>
      <c r="DK24" s="72">
        <f t="shared" si="19"/>
        <v>0</v>
      </c>
      <c r="DL24" s="72">
        <f t="shared" si="19"/>
        <v>0</v>
      </c>
      <c r="DM24" s="72">
        <f t="shared" si="19"/>
        <v>0</v>
      </c>
      <c r="DN24" s="72">
        <f t="shared" si="19"/>
        <v>0</v>
      </c>
      <c r="DO24" s="72">
        <f t="shared" si="19"/>
        <v>0</v>
      </c>
      <c r="DP24" s="72">
        <f t="shared" si="19"/>
        <v>0</v>
      </c>
      <c r="DQ24" s="72">
        <f t="shared" si="19"/>
        <v>7278027</v>
      </c>
      <c r="DR24" s="72">
        <f t="shared" si="19"/>
        <v>0</v>
      </c>
      <c r="DS24" s="72">
        <f t="shared" si="19"/>
        <v>0</v>
      </c>
      <c r="DT24" s="72">
        <f t="shared" si="19"/>
        <v>0</v>
      </c>
      <c r="DU24" s="72">
        <f t="shared" si="19"/>
        <v>0</v>
      </c>
      <c r="DV24" s="72">
        <f t="shared" si="19"/>
        <v>345460944</v>
      </c>
      <c r="DW24" s="72">
        <f t="shared" si="19"/>
        <v>13636130</v>
      </c>
      <c r="DX24" s="72">
        <f t="shared" si="19"/>
        <v>9464745</v>
      </c>
      <c r="DY24" s="72">
        <f t="shared" si="19"/>
        <v>0</v>
      </c>
      <c r="DZ24" s="72">
        <f t="shared" si="19"/>
        <v>0</v>
      </c>
      <c r="EA24" s="72">
        <f t="shared" si="19"/>
        <v>422607964</v>
      </c>
      <c r="EB24" s="72">
        <f t="shared" si="19"/>
        <v>89655280</v>
      </c>
      <c r="ED24" s="200" t="s">
        <v>386</v>
      </c>
      <c r="EE24" s="75">
        <f>+G24</f>
        <v>2672814183</v>
      </c>
      <c r="EF24" s="75">
        <f>+CF24</f>
        <v>1271120167</v>
      </c>
      <c r="EG24" s="188">
        <f>+CE24</f>
        <v>0.4755737136852809</v>
      </c>
    </row>
    <row r="25" spans="1:137" ht="25.5" hidden="1" customHeight="1" thickTop="1" x14ac:dyDescent="0.25">
      <c r="A25" s="76" t="s">
        <v>98</v>
      </c>
      <c r="B25" s="77" t="s">
        <v>99</v>
      </c>
      <c r="C25" s="40" t="s">
        <v>100</v>
      </c>
      <c r="D25" s="41" t="s">
        <v>101</v>
      </c>
      <c r="E25" s="42">
        <v>410</v>
      </c>
      <c r="F25" s="43" t="s">
        <v>102</v>
      </c>
      <c r="G25" s="44">
        <f t="shared" ref="G25:G49" si="20">SUM(J25:AF25)</f>
        <v>116200000</v>
      </c>
      <c r="H25" s="45">
        <v>157000000</v>
      </c>
      <c r="I25" s="45">
        <f>H25-G25</f>
        <v>40800000</v>
      </c>
      <c r="J25" s="44"/>
      <c r="K25" s="44"/>
      <c r="L25" s="44"/>
      <c r="M25" s="44"/>
      <c r="N25" s="44"/>
      <c r="O25" s="44"/>
      <c r="P25" s="44"/>
      <c r="Q25" s="44">
        <f>30000000+14200000</f>
        <v>44200000</v>
      </c>
      <c r="R25" s="44">
        <f>7000000+20000000</f>
        <v>27000000</v>
      </c>
      <c r="S25" s="44">
        <f>10000000+10000000</f>
        <v>20000000</v>
      </c>
      <c r="T25" s="44">
        <v>10000000</v>
      </c>
      <c r="U25" s="78"/>
      <c r="V25" s="78"/>
      <c r="W25" s="78"/>
      <c r="X25" s="78">
        <f>15000000</f>
        <v>15000000</v>
      </c>
      <c r="Y25" s="78"/>
      <c r="Z25" s="44"/>
      <c r="AA25" s="78"/>
      <c r="AB25" s="78"/>
      <c r="AC25" s="78"/>
      <c r="AD25" s="78"/>
      <c r="AE25" s="78"/>
      <c r="AF25" s="78"/>
      <c r="AG25" s="79">
        <f t="shared" si="1"/>
        <v>0.8876936316695353</v>
      </c>
      <c r="AH25" s="44">
        <f t="shared" ref="AH25:AH49" si="21">SUM(AI25:BE25)</f>
        <v>103150000</v>
      </c>
      <c r="AI25" s="44"/>
      <c r="AJ25" s="44"/>
      <c r="AK25" s="44"/>
      <c r="AL25" s="44"/>
      <c r="AM25" s="44"/>
      <c r="AN25" s="44"/>
      <c r="AO25" s="44"/>
      <c r="AP25" s="44">
        <f>+'[6]Acuerdo PLAN INVERSIÓN 2021'!$S$516</f>
        <v>44200000</v>
      </c>
      <c r="AQ25" s="44">
        <f>+'[6]Acuerdo PLAN INVERSIÓN 2021'!$T$516</f>
        <v>13950000</v>
      </c>
      <c r="AR25" s="44">
        <f>+'[6]Acuerdo PLAN INVERSIÓN 2021'!$U$516</f>
        <v>20000000</v>
      </c>
      <c r="AS25" s="44">
        <f>+'[6]Acuerdo PLAN INVERSIÓN 2021'!$V$516</f>
        <v>10000000</v>
      </c>
      <c r="AT25" s="44"/>
      <c r="AU25" s="44"/>
      <c r="AV25" s="44"/>
      <c r="AW25" s="44">
        <f>+'[6]Acuerdo PLAN INVERSIÓN 2021'!$Q$516</f>
        <v>15000000</v>
      </c>
      <c r="AX25" s="44"/>
      <c r="AY25" s="44"/>
      <c r="AZ25" s="44"/>
      <c r="BA25" s="44"/>
      <c r="BB25" s="44"/>
      <c r="BC25" s="44"/>
      <c r="BD25" s="44"/>
      <c r="BE25" s="44"/>
      <c r="BF25" s="79">
        <f t="shared" si="12"/>
        <v>0.1123063683304647</v>
      </c>
      <c r="BG25" s="44">
        <f t="shared" ref="BG25:BG49" si="22">SUM(BH25:CD25)</f>
        <v>13050000</v>
      </c>
      <c r="BH25" s="44">
        <f t="shared" ref="BH25:BW40" si="23">+J25-AI25</f>
        <v>0</v>
      </c>
      <c r="BI25" s="44">
        <f t="shared" si="23"/>
        <v>0</v>
      </c>
      <c r="BJ25" s="44">
        <f t="shared" si="23"/>
        <v>0</v>
      </c>
      <c r="BK25" s="44">
        <f t="shared" si="23"/>
        <v>0</v>
      </c>
      <c r="BL25" s="44">
        <f t="shared" si="23"/>
        <v>0</v>
      </c>
      <c r="BM25" s="44">
        <f t="shared" si="23"/>
        <v>0</v>
      </c>
      <c r="BN25" s="44">
        <f t="shared" si="23"/>
        <v>0</v>
      </c>
      <c r="BO25" s="44">
        <f t="shared" si="23"/>
        <v>0</v>
      </c>
      <c r="BP25" s="44">
        <f t="shared" si="23"/>
        <v>13050000</v>
      </c>
      <c r="BQ25" s="44">
        <f t="shared" si="23"/>
        <v>0</v>
      </c>
      <c r="BR25" s="44">
        <f t="shared" si="23"/>
        <v>0</v>
      </c>
      <c r="BS25" s="44">
        <f t="shared" si="23"/>
        <v>0</v>
      </c>
      <c r="BT25" s="44">
        <f t="shared" si="23"/>
        <v>0</v>
      </c>
      <c r="BU25" s="44">
        <f t="shared" si="23"/>
        <v>0</v>
      </c>
      <c r="BV25" s="44">
        <f t="shared" si="23"/>
        <v>0</v>
      </c>
      <c r="BW25" s="44">
        <f t="shared" si="23"/>
        <v>0</v>
      </c>
      <c r="BX25" s="44">
        <f t="shared" ref="BX25:CD49" si="24">+Z25-AY25</f>
        <v>0</v>
      </c>
      <c r="BY25" s="44">
        <f t="shared" si="24"/>
        <v>0</v>
      </c>
      <c r="BZ25" s="44">
        <f t="shared" si="24"/>
        <v>0</v>
      </c>
      <c r="CA25" s="44">
        <f t="shared" si="24"/>
        <v>0</v>
      </c>
      <c r="CB25" s="44">
        <f t="shared" si="24"/>
        <v>0</v>
      </c>
      <c r="CC25" s="44">
        <f t="shared" si="24"/>
        <v>0</v>
      </c>
      <c r="CD25" s="44">
        <f t="shared" si="24"/>
        <v>0</v>
      </c>
      <c r="CE25" s="79">
        <f t="shared" si="6"/>
        <v>0.47894552495697074</v>
      </c>
      <c r="CF25" s="80">
        <f t="shared" ref="CF25:CF49" si="25">SUM(CG25:DC25)</f>
        <v>55653470</v>
      </c>
      <c r="CG25" s="80"/>
      <c r="CH25" s="80"/>
      <c r="CI25" s="80"/>
      <c r="CJ25" s="80"/>
      <c r="CK25" s="80"/>
      <c r="CL25" s="80"/>
      <c r="CM25" s="80"/>
      <c r="CN25" s="80">
        <f>+'[5]Acuerdo PLAN INVERSIÓN 2021'!$H$607+'[5]Acuerdo PLAN INVERSIÓN 2021'!$H$619+'[5]Acuerdo PLAN INVERSIÓN 2021'!$H$624+'[5]Acuerdo PLAN INVERSIÓN 2021'!$H$630</f>
        <v>39096480</v>
      </c>
      <c r="CO25" s="80">
        <f>+'[5]Acuerdo PLAN INVERSIÓN 2021'!$H$616+'[5]Acuerdo PLAN INVERSIÓN 2021'!$H$654</f>
        <v>6528666</v>
      </c>
      <c r="CP25" s="80">
        <f>+'[5]Acuerdo PLAN INVERSIÓN 2021'!$H$610+'[5]Acuerdo PLAN INVERSIÓN 2021'!$H$636</f>
        <v>4557162</v>
      </c>
      <c r="CQ25" s="80">
        <f>+'[5]Acuerdo PLAN INVERSIÓN 2021'!$H$613+'[5]Acuerdo PLAN INVERSIÓN 2021'!$H$645</f>
        <v>4557162</v>
      </c>
      <c r="CR25" s="80"/>
      <c r="CS25" s="80"/>
      <c r="CT25" s="80"/>
      <c r="CU25" s="80">
        <f>+'[5]Acuerdo PLAN INVERSIÓN 2021'!$H$663</f>
        <v>914000</v>
      </c>
      <c r="CV25" s="80"/>
      <c r="CW25" s="80"/>
      <c r="CX25" s="80"/>
      <c r="CY25" s="80"/>
      <c r="CZ25" s="80"/>
      <c r="DA25" s="80"/>
      <c r="DB25" s="80"/>
      <c r="DC25" s="80"/>
      <c r="DD25" s="79">
        <f t="shared" si="8"/>
        <v>0.52105447504302926</v>
      </c>
      <c r="DE25" s="44">
        <f t="shared" ref="DE25:DE49" si="26">SUM(DF25:EB25)</f>
        <v>60546530</v>
      </c>
      <c r="DF25" s="44">
        <f t="shared" ref="DF25:DU40" si="27">+J25-CG25</f>
        <v>0</v>
      </c>
      <c r="DG25" s="44">
        <f t="shared" si="27"/>
        <v>0</v>
      </c>
      <c r="DH25" s="44">
        <f t="shared" si="27"/>
        <v>0</v>
      </c>
      <c r="DI25" s="44">
        <f t="shared" si="27"/>
        <v>0</v>
      </c>
      <c r="DJ25" s="44">
        <f t="shared" si="27"/>
        <v>0</v>
      </c>
      <c r="DK25" s="44">
        <f t="shared" si="27"/>
        <v>0</v>
      </c>
      <c r="DL25" s="44">
        <f t="shared" si="27"/>
        <v>0</v>
      </c>
      <c r="DM25" s="44">
        <f t="shared" si="27"/>
        <v>5103520</v>
      </c>
      <c r="DN25" s="44">
        <f t="shared" si="27"/>
        <v>20471334</v>
      </c>
      <c r="DO25" s="44">
        <f t="shared" si="27"/>
        <v>15442838</v>
      </c>
      <c r="DP25" s="44">
        <f t="shared" si="27"/>
        <v>5442838</v>
      </c>
      <c r="DQ25" s="44">
        <f t="shared" si="27"/>
        <v>0</v>
      </c>
      <c r="DR25" s="44">
        <f t="shared" si="27"/>
        <v>0</v>
      </c>
      <c r="DS25" s="44">
        <f t="shared" si="27"/>
        <v>0</v>
      </c>
      <c r="DT25" s="44">
        <f t="shared" si="27"/>
        <v>14086000</v>
      </c>
      <c r="DU25" s="44">
        <f t="shared" si="27"/>
        <v>0</v>
      </c>
      <c r="DV25" s="44">
        <f t="shared" ref="DV25:EB49" si="28">+Z25-CW25</f>
        <v>0</v>
      </c>
      <c r="DW25" s="44">
        <f t="shared" si="28"/>
        <v>0</v>
      </c>
      <c r="DX25" s="44">
        <f t="shared" si="28"/>
        <v>0</v>
      </c>
      <c r="DY25" s="44">
        <f t="shared" si="28"/>
        <v>0</v>
      </c>
      <c r="DZ25" s="44">
        <f t="shared" si="28"/>
        <v>0</v>
      </c>
      <c r="EA25" s="44">
        <f t="shared" si="28"/>
        <v>0</v>
      </c>
      <c r="EB25" s="44">
        <f t="shared" si="28"/>
        <v>0</v>
      </c>
      <c r="EE25" s="75">
        <f t="shared" ref="EE25:EE88" si="29">+G25</f>
        <v>116200000</v>
      </c>
      <c r="EF25" s="75">
        <f t="shared" ref="EF25:EF88" si="30">+CF25</f>
        <v>55653470</v>
      </c>
    </row>
    <row r="26" spans="1:137" ht="21" hidden="1" customHeight="1" x14ac:dyDescent="0.25">
      <c r="A26" s="52"/>
      <c r="B26" s="81"/>
      <c r="C26" s="40" t="s">
        <v>103</v>
      </c>
      <c r="D26" s="54" t="s">
        <v>104</v>
      </c>
      <c r="E26" s="42">
        <v>410</v>
      </c>
      <c r="F26" s="43" t="s">
        <v>102</v>
      </c>
      <c r="G26" s="44">
        <f t="shared" si="20"/>
        <v>13000000</v>
      </c>
      <c r="H26" s="45">
        <v>38400000</v>
      </c>
      <c r="I26" s="45">
        <f t="shared" ref="I26:I49" si="31">H26-G26</f>
        <v>25400000</v>
      </c>
      <c r="J26" s="44"/>
      <c r="K26" s="44">
        <v>10000000</v>
      </c>
      <c r="L26" s="44"/>
      <c r="M26" s="44"/>
      <c r="N26" s="44"/>
      <c r="O26" s="44"/>
      <c r="P26" s="44"/>
      <c r="Q26" s="44">
        <f>3000000</f>
        <v>3000000</v>
      </c>
      <c r="R26" s="78"/>
      <c r="S26" s="78"/>
      <c r="T26" s="78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78"/>
      <c r="AG26" s="46">
        <f t="shared" si="1"/>
        <v>1</v>
      </c>
      <c r="AH26" s="44">
        <f t="shared" si="21"/>
        <v>13000000</v>
      </c>
      <c r="AI26" s="44"/>
      <c r="AJ26" s="44">
        <f>+'[2]Acuerdo PLAN INVERSIÓN 2021'!$J$418</f>
        <v>10000000</v>
      </c>
      <c r="AK26" s="44"/>
      <c r="AL26" s="44"/>
      <c r="AM26" s="44"/>
      <c r="AN26" s="44"/>
      <c r="AO26" s="44"/>
      <c r="AP26" s="44">
        <v>3000000</v>
      </c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6">
        <f t="shared" si="12"/>
        <v>0</v>
      </c>
      <c r="BG26" s="44">
        <f t="shared" si="22"/>
        <v>0</v>
      </c>
      <c r="BH26" s="44">
        <f t="shared" si="23"/>
        <v>0</v>
      </c>
      <c r="BI26" s="44">
        <f t="shared" si="23"/>
        <v>0</v>
      </c>
      <c r="BJ26" s="44">
        <f t="shared" si="23"/>
        <v>0</v>
      </c>
      <c r="BK26" s="44">
        <f t="shared" si="23"/>
        <v>0</v>
      </c>
      <c r="BL26" s="44">
        <f t="shared" si="23"/>
        <v>0</v>
      </c>
      <c r="BM26" s="44">
        <f t="shared" si="23"/>
        <v>0</v>
      </c>
      <c r="BN26" s="44">
        <f t="shared" si="23"/>
        <v>0</v>
      </c>
      <c r="BO26" s="44">
        <f t="shared" si="23"/>
        <v>0</v>
      </c>
      <c r="BP26" s="44">
        <f t="shared" si="23"/>
        <v>0</v>
      </c>
      <c r="BQ26" s="44">
        <f t="shared" si="23"/>
        <v>0</v>
      </c>
      <c r="BR26" s="44">
        <f t="shared" si="23"/>
        <v>0</v>
      </c>
      <c r="BS26" s="44">
        <f t="shared" si="23"/>
        <v>0</v>
      </c>
      <c r="BT26" s="44">
        <f t="shared" si="23"/>
        <v>0</v>
      </c>
      <c r="BU26" s="44">
        <f t="shared" si="23"/>
        <v>0</v>
      </c>
      <c r="BV26" s="44">
        <f t="shared" si="23"/>
        <v>0</v>
      </c>
      <c r="BW26" s="44">
        <f t="shared" si="23"/>
        <v>0</v>
      </c>
      <c r="BX26" s="44">
        <f t="shared" si="24"/>
        <v>0</v>
      </c>
      <c r="BY26" s="44">
        <f t="shared" si="24"/>
        <v>0</v>
      </c>
      <c r="BZ26" s="44">
        <f t="shared" si="24"/>
        <v>0</v>
      </c>
      <c r="CA26" s="44">
        <f t="shared" si="24"/>
        <v>0</v>
      </c>
      <c r="CB26" s="44">
        <f t="shared" si="24"/>
        <v>0</v>
      </c>
      <c r="CC26" s="44">
        <f t="shared" si="24"/>
        <v>0</v>
      </c>
      <c r="CD26" s="44">
        <f t="shared" si="24"/>
        <v>0</v>
      </c>
      <c r="CE26" s="46">
        <f t="shared" si="6"/>
        <v>1</v>
      </c>
      <c r="CF26" s="44">
        <f t="shared" si="25"/>
        <v>13000000</v>
      </c>
      <c r="CG26" s="44"/>
      <c r="CH26" s="44">
        <f>+'[1]Acuerdo PLAN INVERSIÓN 2021'!$H$480+'[1]Acuerdo PLAN INVERSIÓN 2021'!$H$487</f>
        <v>10000000</v>
      </c>
      <c r="CI26" s="44"/>
      <c r="CJ26" s="44"/>
      <c r="CK26" s="44"/>
      <c r="CL26" s="44"/>
      <c r="CM26" s="44"/>
      <c r="CN26" s="44">
        <f>+'[1]Acuerdo PLAN INVERSIÓN 2021'!$H$483</f>
        <v>3000000</v>
      </c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6">
        <f t="shared" si="8"/>
        <v>0</v>
      </c>
      <c r="DE26" s="44">
        <f t="shared" si="26"/>
        <v>0</v>
      </c>
      <c r="DF26" s="44">
        <f t="shared" si="27"/>
        <v>0</v>
      </c>
      <c r="DG26" s="44">
        <f t="shared" si="27"/>
        <v>0</v>
      </c>
      <c r="DH26" s="44">
        <f t="shared" si="27"/>
        <v>0</v>
      </c>
      <c r="DI26" s="44">
        <f t="shared" si="27"/>
        <v>0</v>
      </c>
      <c r="DJ26" s="44">
        <f t="shared" si="27"/>
        <v>0</v>
      </c>
      <c r="DK26" s="44">
        <f t="shared" si="27"/>
        <v>0</v>
      </c>
      <c r="DL26" s="44">
        <f t="shared" si="27"/>
        <v>0</v>
      </c>
      <c r="DM26" s="44">
        <f t="shared" si="27"/>
        <v>0</v>
      </c>
      <c r="DN26" s="44">
        <f t="shared" si="27"/>
        <v>0</v>
      </c>
      <c r="DO26" s="44">
        <f t="shared" si="27"/>
        <v>0</v>
      </c>
      <c r="DP26" s="44">
        <f t="shared" si="27"/>
        <v>0</v>
      </c>
      <c r="DQ26" s="44">
        <f t="shared" si="27"/>
        <v>0</v>
      </c>
      <c r="DR26" s="44">
        <f t="shared" si="27"/>
        <v>0</v>
      </c>
      <c r="DS26" s="44">
        <f t="shared" si="27"/>
        <v>0</v>
      </c>
      <c r="DT26" s="44">
        <f t="shared" si="27"/>
        <v>0</v>
      </c>
      <c r="DU26" s="44">
        <f t="shared" si="27"/>
        <v>0</v>
      </c>
      <c r="DV26" s="44">
        <f t="shared" si="28"/>
        <v>0</v>
      </c>
      <c r="DW26" s="44">
        <f t="shared" si="28"/>
        <v>0</v>
      </c>
      <c r="DX26" s="44">
        <f t="shared" si="28"/>
        <v>0</v>
      </c>
      <c r="DY26" s="44">
        <f t="shared" si="28"/>
        <v>0</v>
      </c>
      <c r="DZ26" s="44">
        <f t="shared" si="28"/>
        <v>0</v>
      </c>
      <c r="EA26" s="44">
        <f t="shared" si="28"/>
        <v>0</v>
      </c>
      <c r="EB26" s="44">
        <f t="shared" si="28"/>
        <v>0</v>
      </c>
      <c r="EE26" s="75">
        <f t="shared" si="29"/>
        <v>13000000</v>
      </c>
      <c r="EF26" s="75">
        <f t="shared" si="30"/>
        <v>13000000</v>
      </c>
    </row>
    <row r="27" spans="1:137" ht="39" hidden="1" customHeight="1" x14ac:dyDescent="0.25">
      <c r="A27" s="52"/>
      <c r="B27" s="82" t="s">
        <v>105</v>
      </c>
      <c r="C27" s="59" t="s">
        <v>106</v>
      </c>
      <c r="D27" s="54" t="s">
        <v>107</v>
      </c>
      <c r="E27" s="42">
        <v>410</v>
      </c>
      <c r="F27" s="43" t="s">
        <v>108</v>
      </c>
      <c r="G27" s="44">
        <f t="shared" si="20"/>
        <v>313567799</v>
      </c>
      <c r="H27" s="45">
        <v>215800000</v>
      </c>
      <c r="I27" s="45">
        <f t="shared" si="31"/>
        <v>-97767799</v>
      </c>
      <c r="J27" s="44"/>
      <c r="K27" s="44"/>
      <c r="L27" s="44"/>
      <c r="M27" s="44"/>
      <c r="N27" s="44"/>
      <c r="O27" s="44"/>
      <c r="P27" s="44"/>
      <c r="Q27" s="44">
        <f>120000000+78000000-50000000</f>
        <v>148000000</v>
      </c>
      <c r="R27" s="44">
        <f>8000000+40000000-17566990</f>
        <v>30433010</v>
      </c>
      <c r="S27" s="44">
        <f>15000000+15000000</f>
        <v>30000000</v>
      </c>
      <c r="T27" s="44">
        <v>10000000</v>
      </c>
      <c r="U27" s="44"/>
      <c r="V27" s="44"/>
      <c r="W27" s="44"/>
      <c r="X27" s="44">
        <f>45134741</f>
        <v>45134741</v>
      </c>
      <c r="Y27" s="44"/>
      <c r="Z27" s="44"/>
      <c r="AA27" s="44"/>
      <c r="AB27" s="44"/>
      <c r="AC27" s="44"/>
      <c r="AD27" s="44"/>
      <c r="AE27" s="44"/>
      <c r="AF27" s="44">
        <f>35000000+5000000+8000000+2000048</f>
        <v>50000048</v>
      </c>
      <c r="AG27" s="46">
        <f t="shared" si="1"/>
        <v>0.68395841882986208</v>
      </c>
      <c r="AH27" s="44">
        <f t="shared" si="21"/>
        <v>214467336</v>
      </c>
      <c r="AI27" s="44"/>
      <c r="AJ27" s="44"/>
      <c r="AK27" s="44"/>
      <c r="AL27" s="44"/>
      <c r="AM27" s="44"/>
      <c r="AN27" s="44"/>
      <c r="AO27" s="44"/>
      <c r="AP27" s="44">
        <f>+'[5]Acuerdo PLAN INVERSIÓN 2021'!$S$686</f>
        <v>90513962</v>
      </c>
      <c r="AQ27" s="44">
        <f>+'[5]Acuerdo PLAN INVERSIÓN 2021'!$T$686</f>
        <v>30433010</v>
      </c>
      <c r="AR27" s="44">
        <f>+'[5]Acuerdo PLAN INVERSIÓN 2021'!$U$686</f>
        <v>23983000</v>
      </c>
      <c r="AS27" s="44">
        <f>+'[5]Acuerdo PLAN INVERSIÓN 2021'!$V$686</f>
        <v>7537364</v>
      </c>
      <c r="AT27" s="44"/>
      <c r="AU27" s="44"/>
      <c r="AV27" s="44"/>
      <c r="AW27" s="44">
        <f>+'[5]Acuerdo PLAN INVERSIÓN 2021'!$Q$686</f>
        <v>35000000</v>
      </c>
      <c r="AX27" s="44"/>
      <c r="AY27" s="44"/>
      <c r="AZ27" s="44"/>
      <c r="BA27" s="44"/>
      <c r="BB27" s="44"/>
      <c r="BC27" s="44"/>
      <c r="BD27" s="44"/>
      <c r="BE27" s="44">
        <f>+'[5]Acuerdo PLAN INVERSIÓN 2021'!$AF$686</f>
        <v>27000000</v>
      </c>
      <c r="BF27" s="46">
        <f t="shared" si="12"/>
        <v>0.31604158117013792</v>
      </c>
      <c r="BG27" s="44">
        <f t="shared" si="22"/>
        <v>99100463</v>
      </c>
      <c r="BH27" s="44">
        <f t="shared" si="23"/>
        <v>0</v>
      </c>
      <c r="BI27" s="44">
        <f t="shared" si="23"/>
        <v>0</v>
      </c>
      <c r="BJ27" s="44">
        <f t="shared" si="23"/>
        <v>0</v>
      </c>
      <c r="BK27" s="44">
        <f t="shared" si="23"/>
        <v>0</v>
      </c>
      <c r="BL27" s="44">
        <f t="shared" si="23"/>
        <v>0</v>
      </c>
      <c r="BM27" s="44">
        <f t="shared" si="23"/>
        <v>0</v>
      </c>
      <c r="BN27" s="44">
        <f t="shared" si="23"/>
        <v>0</v>
      </c>
      <c r="BO27" s="44">
        <f t="shared" si="23"/>
        <v>57486038</v>
      </c>
      <c r="BP27" s="44">
        <f t="shared" si="23"/>
        <v>0</v>
      </c>
      <c r="BQ27" s="44">
        <f t="shared" si="23"/>
        <v>6017000</v>
      </c>
      <c r="BR27" s="44">
        <f t="shared" si="23"/>
        <v>2462636</v>
      </c>
      <c r="BS27" s="44">
        <f t="shared" si="23"/>
        <v>0</v>
      </c>
      <c r="BT27" s="44">
        <f t="shared" si="23"/>
        <v>0</v>
      </c>
      <c r="BU27" s="44">
        <f t="shared" si="23"/>
        <v>0</v>
      </c>
      <c r="BV27" s="44">
        <f t="shared" si="23"/>
        <v>10134741</v>
      </c>
      <c r="BW27" s="44">
        <f t="shared" si="23"/>
        <v>0</v>
      </c>
      <c r="BX27" s="44">
        <f t="shared" si="24"/>
        <v>0</v>
      </c>
      <c r="BY27" s="44">
        <f t="shared" si="24"/>
        <v>0</v>
      </c>
      <c r="BZ27" s="44">
        <f t="shared" si="24"/>
        <v>0</v>
      </c>
      <c r="CA27" s="44">
        <f t="shared" si="24"/>
        <v>0</v>
      </c>
      <c r="CB27" s="44">
        <f t="shared" si="24"/>
        <v>0</v>
      </c>
      <c r="CC27" s="44">
        <f t="shared" si="24"/>
        <v>0</v>
      </c>
      <c r="CD27" s="44">
        <f t="shared" si="24"/>
        <v>23000048</v>
      </c>
      <c r="CE27" s="46">
        <f t="shared" si="6"/>
        <v>0.31948564335842405</v>
      </c>
      <c r="CF27" s="44">
        <f t="shared" si="25"/>
        <v>100180410</v>
      </c>
      <c r="CG27" s="44"/>
      <c r="CH27" s="44"/>
      <c r="CI27" s="44"/>
      <c r="CJ27" s="44"/>
      <c r="CK27" s="44"/>
      <c r="CL27" s="44"/>
      <c r="CM27" s="44"/>
      <c r="CN27" s="44">
        <f>+'[5]Acuerdo PLAN INVERSIÓN 2021'!$H$684-CO27-CP27-CQ27-CU27-DC27</f>
        <v>56045470</v>
      </c>
      <c r="CO27" s="44">
        <f>+'[5]Acuerdo PLAN INVERSIÓN 2021'!$H$738+'[5]Acuerdo PLAN INVERSIÓN 2021'!$H$741+'[5]Acuerdo PLAN INVERSIÓN 2021'!$H$744+'[5]Acuerdo PLAN INVERSIÓN 2021'!$H$896+'[5]Acuerdo PLAN INVERSIÓN 2021'!$H$968</f>
        <v>7407365</v>
      </c>
      <c r="CP27" s="44">
        <f>+'[5]Acuerdo PLAN INVERSIÓN 2021'!$H$687+'[5]Acuerdo PLAN INVERSIÓN 2021'!$H$690+'[5]Acuerdo PLAN INVERSIÓN 2021'!$H$693+'[5]Acuerdo PLAN INVERSIÓN 2021'!$H$899+'[5]Acuerdo PLAN INVERSIÓN 2021'!$H$956</f>
        <v>9500000</v>
      </c>
      <c r="CQ27" s="44">
        <f>+'[5]Acuerdo PLAN INVERSIÓN 2021'!$H$705+'[5]Acuerdo PLAN INVERSIÓN 2021'!$H$902+'[5]Acuerdo PLAN INVERSIÓN 2021'!$H$1017</f>
        <v>3537364</v>
      </c>
      <c r="CR27" s="44"/>
      <c r="CS27" s="44"/>
      <c r="CT27" s="44"/>
      <c r="CU27" s="44">
        <f>+'[5]Acuerdo PLAN INVERSIÓN 2021'!$H$962</f>
        <v>6599999</v>
      </c>
      <c r="CV27" s="44"/>
      <c r="CW27" s="44"/>
      <c r="CX27" s="44"/>
      <c r="CY27" s="44"/>
      <c r="CZ27" s="44"/>
      <c r="DA27" s="44"/>
      <c r="DB27" s="44"/>
      <c r="DC27" s="44">
        <f>+'[5]Acuerdo PLAN INVERSIÓN 2021'!$H$801+'[5]Acuerdo PLAN INVERSIÓN 2021'!$H$804+'[5]Acuerdo PLAN INVERSIÓN 2021'!$H$807+'[5]Acuerdo PLAN INVERSIÓN 2021'!$H$810+'[5]Acuerdo PLAN INVERSIÓN 2021'!$H$920+'[5]Acuerdo PLAN INVERSIÓN 2021'!$H$977+'[5]Acuerdo PLAN INVERSIÓN 2021'!$H$1034+'[5]Acuerdo PLAN INVERSIÓN 2021'!$H$1037+'[5]Acuerdo PLAN INVERSIÓN 2021'!$H$1040</f>
        <v>17090212</v>
      </c>
      <c r="DD27" s="46">
        <f t="shared" si="8"/>
        <v>0.68051435664157589</v>
      </c>
      <c r="DE27" s="44">
        <f t="shared" si="26"/>
        <v>213387389</v>
      </c>
      <c r="DF27" s="44">
        <f t="shared" si="27"/>
        <v>0</v>
      </c>
      <c r="DG27" s="44">
        <f t="shared" si="27"/>
        <v>0</v>
      </c>
      <c r="DH27" s="44">
        <f t="shared" si="27"/>
        <v>0</v>
      </c>
      <c r="DI27" s="44">
        <f t="shared" si="27"/>
        <v>0</v>
      </c>
      <c r="DJ27" s="44">
        <f t="shared" si="27"/>
        <v>0</v>
      </c>
      <c r="DK27" s="44">
        <f t="shared" si="27"/>
        <v>0</v>
      </c>
      <c r="DL27" s="44">
        <f t="shared" si="27"/>
        <v>0</v>
      </c>
      <c r="DM27" s="44">
        <f t="shared" si="27"/>
        <v>91954530</v>
      </c>
      <c r="DN27" s="44">
        <f t="shared" si="27"/>
        <v>23025645</v>
      </c>
      <c r="DO27" s="44">
        <f t="shared" si="27"/>
        <v>20500000</v>
      </c>
      <c r="DP27" s="44">
        <f t="shared" si="27"/>
        <v>6462636</v>
      </c>
      <c r="DQ27" s="44">
        <f t="shared" si="27"/>
        <v>0</v>
      </c>
      <c r="DR27" s="44">
        <f t="shared" si="27"/>
        <v>0</v>
      </c>
      <c r="DS27" s="44">
        <f t="shared" si="27"/>
        <v>0</v>
      </c>
      <c r="DT27" s="44">
        <f t="shared" si="27"/>
        <v>38534742</v>
      </c>
      <c r="DU27" s="44">
        <f t="shared" si="27"/>
        <v>0</v>
      </c>
      <c r="DV27" s="44">
        <f t="shared" si="28"/>
        <v>0</v>
      </c>
      <c r="DW27" s="44">
        <f t="shared" si="28"/>
        <v>0</v>
      </c>
      <c r="DX27" s="44">
        <f t="shared" si="28"/>
        <v>0</v>
      </c>
      <c r="DY27" s="44">
        <f t="shared" si="28"/>
        <v>0</v>
      </c>
      <c r="DZ27" s="44">
        <f t="shared" si="28"/>
        <v>0</v>
      </c>
      <c r="EA27" s="44">
        <f t="shared" si="28"/>
        <v>0</v>
      </c>
      <c r="EB27" s="44">
        <f t="shared" si="28"/>
        <v>32909836</v>
      </c>
      <c r="EE27" s="75">
        <f t="shared" si="29"/>
        <v>313567799</v>
      </c>
      <c r="EF27" s="75">
        <f t="shared" si="30"/>
        <v>100180410</v>
      </c>
    </row>
    <row r="28" spans="1:137" ht="18" hidden="1" customHeight="1" x14ac:dyDescent="0.25">
      <c r="A28" s="52"/>
      <c r="B28" s="82"/>
      <c r="C28" s="40" t="s">
        <v>109</v>
      </c>
      <c r="D28" s="54" t="s">
        <v>110</v>
      </c>
      <c r="E28" s="42">
        <v>410</v>
      </c>
      <c r="F28" s="43" t="s">
        <v>111</v>
      </c>
      <c r="G28" s="44">
        <f t="shared" si="20"/>
        <v>65000000</v>
      </c>
      <c r="H28" s="45">
        <v>49800000</v>
      </c>
      <c r="I28" s="45">
        <f t="shared" si="31"/>
        <v>-15200000</v>
      </c>
      <c r="J28" s="44"/>
      <c r="K28" s="44">
        <v>20000000</v>
      </c>
      <c r="L28" s="44"/>
      <c r="M28" s="44"/>
      <c r="N28" s="44"/>
      <c r="O28" s="44"/>
      <c r="P28" s="44"/>
      <c r="Q28" s="44">
        <f>20000000+25000000</f>
        <v>45000000</v>
      </c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6">
        <f t="shared" si="1"/>
        <v>8.3310369230769232E-2</v>
      </c>
      <c r="AH28" s="44">
        <f t="shared" si="21"/>
        <v>5415174</v>
      </c>
      <c r="AI28" s="44"/>
      <c r="AJ28" s="44"/>
      <c r="AK28" s="44"/>
      <c r="AL28" s="44"/>
      <c r="AM28" s="44"/>
      <c r="AN28" s="44"/>
      <c r="AO28" s="44"/>
      <c r="AP28" s="44">
        <f>+'[5]Acuerdo PLAN INVERSIÓN 2021'!$S$1073</f>
        <v>5415174</v>
      </c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6">
        <f t="shared" si="12"/>
        <v>0.91668963076923071</v>
      </c>
      <c r="BG28" s="44">
        <f t="shared" si="22"/>
        <v>59584826</v>
      </c>
      <c r="BH28" s="44">
        <f t="shared" si="23"/>
        <v>0</v>
      </c>
      <c r="BI28" s="44">
        <f t="shared" si="23"/>
        <v>20000000</v>
      </c>
      <c r="BJ28" s="44">
        <f t="shared" si="23"/>
        <v>0</v>
      </c>
      <c r="BK28" s="44">
        <f t="shared" si="23"/>
        <v>0</v>
      </c>
      <c r="BL28" s="44">
        <f t="shared" si="23"/>
        <v>0</v>
      </c>
      <c r="BM28" s="44">
        <f t="shared" si="23"/>
        <v>0</v>
      </c>
      <c r="BN28" s="44">
        <f t="shared" si="23"/>
        <v>0</v>
      </c>
      <c r="BO28" s="44">
        <f t="shared" si="23"/>
        <v>39584826</v>
      </c>
      <c r="BP28" s="44">
        <f t="shared" si="23"/>
        <v>0</v>
      </c>
      <c r="BQ28" s="44">
        <f t="shared" si="23"/>
        <v>0</v>
      </c>
      <c r="BR28" s="44">
        <f t="shared" si="23"/>
        <v>0</v>
      </c>
      <c r="BS28" s="44">
        <f t="shared" si="23"/>
        <v>0</v>
      </c>
      <c r="BT28" s="44">
        <f t="shared" si="23"/>
        <v>0</v>
      </c>
      <c r="BU28" s="44">
        <f t="shared" si="23"/>
        <v>0</v>
      </c>
      <c r="BV28" s="44">
        <f t="shared" si="23"/>
        <v>0</v>
      </c>
      <c r="BW28" s="44">
        <f t="shared" si="23"/>
        <v>0</v>
      </c>
      <c r="BX28" s="44">
        <f t="shared" si="24"/>
        <v>0</v>
      </c>
      <c r="BY28" s="44">
        <f t="shared" si="24"/>
        <v>0</v>
      </c>
      <c r="BZ28" s="44">
        <f t="shared" si="24"/>
        <v>0</v>
      </c>
      <c r="CA28" s="44">
        <f t="shared" si="24"/>
        <v>0</v>
      </c>
      <c r="CB28" s="44">
        <f t="shared" si="24"/>
        <v>0</v>
      </c>
      <c r="CC28" s="44">
        <f t="shared" si="24"/>
        <v>0</v>
      </c>
      <c r="CD28" s="44">
        <f t="shared" si="24"/>
        <v>0</v>
      </c>
      <c r="CE28" s="46">
        <f t="shared" si="6"/>
        <v>8.3155353846153843E-2</v>
      </c>
      <c r="CF28" s="44">
        <f t="shared" si="25"/>
        <v>5405098</v>
      </c>
      <c r="CG28" s="44"/>
      <c r="CH28" s="44"/>
      <c r="CI28" s="44"/>
      <c r="CJ28" s="44"/>
      <c r="CK28" s="44"/>
      <c r="CL28" s="44"/>
      <c r="CM28" s="44"/>
      <c r="CN28" s="44">
        <f>+'[5]Acuerdo PLAN INVERSIÓN 2021'!$H$1071</f>
        <v>5405098</v>
      </c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6">
        <f t="shared" si="8"/>
        <v>0.9168446461538462</v>
      </c>
      <c r="DE28" s="44">
        <f t="shared" si="26"/>
        <v>59594902</v>
      </c>
      <c r="DF28" s="44">
        <f t="shared" si="27"/>
        <v>0</v>
      </c>
      <c r="DG28" s="44">
        <f t="shared" si="27"/>
        <v>20000000</v>
      </c>
      <c r="DH28" s="44">
        <f t="shared" si="27"/>
        <v>0</v>
      </c>
      <c r="DI28" s="44">
        <f t="shared" si="27"/>
        <v>0</v>
      </c>
      <c r="DJ28" s="44">
        <f t="shared" si="27"/>
        <v>0</v>
      </c>
      <c r="DK28" s="44">
        <f t="shared" si="27"/>
        <v>0</v>
      </c>
      <c r="DL28" s="44">
        <f t="shared" si="27"/>
        <v>0</v>
      </c>
      <c r="DM28" s="44">
        <f t="shared" si="27"/>
        <v>39594902</v>
      </c>
      <c r="DN28" s="44">
        <f t="shared" si="27"/>
        <v>0</v>
      </c>
      <c r="DO28" s="44">
        <f t="shared" si="27"/>
        <v>0</v>
      </c>
      <c r="DP28" s="44">
        <f t="shared" si="27"/>
        <v>0</v>
      </c>
      <c r="DQ28" s="44">
        <f t="shared" si="27"/>
        <v>0</v>
      </c>
      <c r="DR28" s="44">
        <f t="shared" si="27"/>
        <v>0</v>
      </c>
      <c r="DS28" s="44">
        <f t="shared" si="27"/>
        <v>0</v>
      </c>
      <c r="DT28" s="44">
        <f t="shared" si="27"/>
        <v>0</v>
      </c>
      <c r="DU28" s="44">
        <f t="shared" si="27"/>
        <v>0</v>
      </c>
      <c r="DV28" s="44">
        <f t="shared" si="28"/>
        <v>0</v>
      </c>
      <c r="DW28" s="44">
        <f t="shared" si="28"/>
        <v>0</v>
      </c>
      <c r="DX28" s="44">
        <f t="shared" si="28"/>
        <v>0</v>
      </c>
      <c r="DY28" s="44">
        <f t="shared" si="28"/>
        <v>0</v>
      </c>
      <c r="DZ28" s="44">
        <f t="shared" si="28"/>
        <v>0</v>
      </c>
      <c r="EA28" s="44">
        <f t="shared" si="28"/>
        <v>0</v>
      </c>
      <c r="EB28" s="44">
        <f t="shared" si="28"/>
        <v>0</v>
      </c>
      <c r="EE28" s="75">
        <f t="shared" si="29"/>
        <v>65000000</v>
      </c>
      <c r="EF28" s="75">
        <f t="shared" si="30"/>
        <v>5405098</v>
      </c>
    </row>
    <row r="29" spans="1:137" ht="19.149999999999999" hidden="1" customHeight="1" x14ac:dyDescent="0.25">
      <c r="A29" s="52"/>
      <c r="B29" s="82"/>
      <c r="C29" s="40" t="s">
        <v>112</v>
      </c>
      <c r="D29" s="54" t="s">
        <v>113</v>
      </c>
      <c r="E29" s="42">
        <v>410</v>
      </c>
      <c r="F29" s="43" t="s">
        <v>111</v>
      </c>
      <c r="G29" s="44">
        <f t="shared" si="20"/>
        <v>1082732208</v>
      </c>
      <c r="H29" s="45">
        <v>1120500000</v>
      </c>
      <c r="I29" s="45">
        <f t="shared" si="31"/>
        <v>37767792</v>
      </c>
      <c r="J29" s="44"/>
      <c r="K29" s="44"/>
      <c r="L29" s="44"/>
      <c r="M29" s="44"/>
      <c r="N29" s="44"/>
      <c r="O29" s="44"/>
      <c r="P29" s="44"/>
      <c r="Q29" s="44">
        <f>500000000+119280494+165739636+2</f>
        <v>785020132</v>
      </c>
      <c r="R29" s="44">
        <f>17566990</f>
        <v>17566990</v>
      </c>
      <c r="S29" s="44"/>
      <c r="T29" s="44">
        <v>10000000</v>
      </c>
      <c r="U29" s="44"/>
      <c r="V29" s="44"/>
      <c r="W29" s="44"/>
      <c r="X29" s="44"/>
      <c r="Y29" s="44"/>
      <c r="Z29" s="44"/>
      <c r="AA29" s="44"/>
      <c r="AB29" s="44">
        <v>270145086</v>
      </c>
      <c r="AC29" s="44"/>
      <c r="AD29" s="44"/>
      <c r="AE29" s="44"/>
      <c r="AF29" s="44"/>
      <c r="AG29" s="46">
        <f t="shared" si="1"/>
        <v>0.69306599217744891</v>
      </c>
      <c r="AH29" s="44">
        <f t="shared" si="21"/>
        <v>750404872</v>
      </c>
      <c r="AI29" s="44"/>
      <c r="AJ29" s="44"/>
      <c r="AK29" s="44"/>
      <c r="AL29" s="44"/>
      <c r="AM29" s="44"/>
      <c r="AN29" s="44"/>
      <c r="AO29" s="44"/>
      <c r="AP29" s="44">
        <f>+'[5]Acuerdo PLAN INVERSIÓN 2021'!$S$1097</f>
        <v>462139326</v>
      </c>
      <c r="AQ29" s="44">
        <f>+'[2]Acuerdo PLAN INVERSIÓN 2021'!$T$604</f>
        <v>13800460</v>
      </c>
      <c r="AR29" s="44"/>
      <c r="AS29" s="44">
        <f>+'[2]Acuerdo PLAN INVERSIÓN 2021'!$V$604</f>
        <v>4320000</v>
      </c>
      <c r="AT29" s="44"/>
      <c r="AU29" s="44"/>
      <c r="AV29" s="44"/>
      <c r="AW29" s="44"/>
      <c r="AX29" s="44"/>
      <c r="AY29" s="44"/>
      <c r="AZ29" s="44"/>
      <c r="BA29" s="44">
        <f>+'[5]Acuerdo PLAN INVERSIÓN 2021'!$Y$1097</f>
        <v>270145086</v>
      </c>
      <c r="BB29" s="44"/>
      <c r="BC29" s="44"/>
      <c r="BD29" s="44"/>
      <c r="BE29" s="44"/>
      <c r="BF29" s="46">
        <f t="shared" si="12"/>
        <v>0.30693400782255109</v>
      </c>
      <c r="BG29" s="44">
        <f t="shared" si="22"/>
        <v>332327336</v>
      </c>
      <c r="BH29" s="44">
        <f t="shared" si="23"/>
        <v>0</v>
      </c>
      <c r="BI29" s="44">
        <f t="shared" si="23"/>
        <v>0</v>
      </c>
      <c r="BJ29" s="44">
        <f t="shared" si="23"/>
        <v>0</v>
      </c>
      <c r="BK29" s="44">
        <f t="shared" si="23"/>
        <v>0</v>
      </c>
      <c r="BL29" s="44">
        <f t="shared" si="23"/>
        <v>0</v>
      </c>
      <c r="BM29" s="44">
        <f t="shared" si="23"/>
        <v>0</v>
      </c>
      <c r="BN29" s="44">
        <f t="shared" si="23"/>
        <v>0</v>
      </c>
      <c r="BO29" s="44">
        <f t="shared" si="23"/>
        <v>322880806</v>
      </c>
      <c r="BP29" s="44">
        <f t="shared" si="23"/>
        <v>3766530</v>
      </c>
      <c r="BQ29" s="44">
        <f t="shared" si="23"/>
        <v>0</v>
      </c>
      <c r="BR29" s="44">
        <f t="shared" si="23"/>
        <v>5680000</v>
      </c>
      <c r="BS29" s="44">
        <f t="shared" si="23"/>
        <v>0</v>
      </c>
      <c r="BT29" s="44">
        <f t="shared" si="23"/>
        <v>0</v>
      </c>
      <c r="BU29" s="44">
        <f t="shared" si="23"/>
        <v>0</v>
      </c>
      <c r="BV29" s="44">
        <f t="shared" si="23"/>
        <v>0</v>
      </c>
      <c r="BW29" s="44">
        <f t="shared" si="23"/>
        <v>0</v>
      </c>
      <c r="BX29" s="44">
        <f t="shared" si="24"/>
        <v>0</v>
      </c>
      <c r="BY29" s="44">
        <f t="shared" si="24"/>
        <v>0</v>
      </c>
      <c r="BZ29" s="44">
        <f t="shared" si="24"/>
        <v>0</v>
      </c>
      <c r="CA29" s="44">
        <f t="shared" si="24"/>
        <v>0</v>
      </c>
      <c r="CB29" s="44">
        <f t="shared" si="24"/>
        <v>0</v>
      </c>
      <c r="CC29" s="44">
        <f t="shared" si="24"/>
        <v>0</v>
      </c>
      <c r="CD29" s="44">
        <f t="shared" si="24"/>
        <v>0</v>
      </c>
      <c r="CE29" s="46">
        <f t="shared" si="6"/>
        <v>0.32871669593853997</v>
      </c>
      <c r="CF29" s="44">
        <f t="shared" si="25"/>
        <v>355912154</v>
      </c>
      <c r="CG29" s="44"/>
      <c r="CH29" s="44"/>
      <c r="CI29" s="44"/>
      <c r="CJ29" s="44"/>
      <c r="CK29" s="44"/>
      <c r="CL29" s="44"/>
      <c r="CM29" s="44"/>
      <c r="CN29" s="44">
        <f>+'[5]Acuerdo PLAN INVERSIÓN 2021'!$H$1095-CO29-CQ29-CY29</f>
        <v>334193254</v>
      </c>
      <c r="CO29" s="44">
        <f>+'[5]Acuerdo PLAN INVERSIÓN 2021'!$H$1298+'[5]Acuerdo PLAN INVERSIÓN 2021'!$H$1341+'[5]Acuerdo PLAN INVERSIÓN 2021'!$H$1344+'[5]Acuerdo PLAN INVERSIÓN 2021'!$H$1347</f>
        <v>6138900</v>
      </c>
      <c r="CP29" s="44"/>
      <c r="CQ29" s="44">
        <f>+'[5]Acuerdo PLAN INVERSIÓN 2021'!$H$1146+'[5]Acuerdo PLAN INVERSIÓN 2021'!$H$1170+'[5]Acuerdo PLAN INVERSIÓN 2021'!$H$1229+'[5]Acuerdo PLAN INVERSIÓN 2021'!$H$1333</f>
        <v>4080000</v>
      </c>
      <c r="CR29" s="44"/>
      <c r="CS29" s="44"/>
      <c r="CT29" s="44"/>
      <c r="CU29" s="44"/>
      <c r="CV29" s="44"/>
      <c r="CW29" s="44"/>
      <c r="CX29" s="44"/>
      <c r="CY29" s="44">
        <f>+'[5]Acuerdo PLAN INVERSIÓN 2021'!$H$1438</f>
        <v>11500000</v>
      </c>
      <c r="CZ29" s="44"/>
      <c r="DA29" s="44"/>
      <c r="DB29" s="44"/>
      <c r="DC29" s="44"/>
      <c r="DD29" s="46">
        <f t="shared" si="8"/>
        <v>0.67128330406146008</v>
      </c>
      <c r="DE29" s="44">
        <f t="shared" si="26"/>
        <v>726820054</v>
      </c>
      <c r="DF29" s="44">
        <f t="shared" si="27"/>
        <v>0</v>
      </c>
      <c r="DG29" s="44">
        <f t="shared" si="27"/>
        <v>0</v>
      </c>
      <c r="DH29" s="44">
        <f t="shared" si="27"/>
        <v>0</v>
      </c>
      <c r="DI29" s="44">
        <f t="shared" si="27"/>
        <v>0</v>
      </c>
      <c r="DJ29" s="44">
        <f t="shared" si="27"/>
        <v>0</v>
      </c>
      <c r="DK29" s="44">
        <f t="shared" si="27"/>
        <v>0</v>
      </c>
      <c r="DL29" s="44">
        <f t="shared" si="27"/>
        <v>0</v>
      </c>
      <c r="DM29" s="44">
        <f t="shared" si="27"/>
        <v>450826878</v>
      </c>
      <c r="DN29" s="44">
        <f t="shared" si="27"/>
        <v>11428090</v>
      </c>
      <c r="DO29" s="44">
        <f t="shared" si="27"/>
        <v>0</v>
      </c>
      <c r="DP29" s="44">
        <f t="shared" si="27"/>
        <v>5920000</v>
      </c>
      <c r="DQ29" s="44">
        <f t="shared" si="27"/>
        <v>0</v>
      </c>
      <c r="DR29" s="44">
        <f t="shared" si="27"/>
        <v>0</v>
      </c>
      <c r="DS29" s="44">
        <f t="shared" si="27"/>
        <v>0</v>
      </c>
      <c r="DT29" s="44">
        <f t="shared" si="27"/>
        <v>0</v>
      </c>
      <c r="DU29" s="44">
        <f t="shared" si="27"/>
        <v>0</v>
      </c>
      <c r="DV29" s="44">
        <f t="shared" si="28"/>
        <v>0</v>
      </c>
      <c r="DW29" s="44">
        <f t="shared" si="28"/>
        <v>0</v>
      </c>
      <c r="DX29" s="44">
        <f t="shared" si="28"/>
        <v>258645086</v>
      </c>
      <c r="DY29" s="44">
        <f t="shared" si="28"/>
        <v>0</v>
      </c>
      <c r="DZ29" s="44">
        <f t="shared" si="28"/>
        <v>0</v>
      </c>
      <c r="EA29" s="44">
        <f t="shared" si="28"/>
        <v>0</v>
      </c>
      <c r="EB29" s="44">
        <f t="shared" si="28"/>
        <v>0</v>
      </c>
      <c r="EE29" s="75">
        <f t="shared" si="29"/>
        <v>1082732208</v>
      </c>
      <c r="EF29" s="75">
        <f t="shared" si="30"/>
        <v>355912154</v>
      </c>
    </row>
    <row r="30" spans="1:137" ht="21" hidden="1" customHeight="1" x14ac:dyDescent="0.25">
      <c r="A30" s="52"/>
      <c r="B30" s="82"/>
      <c r="C30" s="40" t="s">
        <v>114</v>
      </c>
      <c r="D30" s="54" t="s">
        <v>115</v>
      </c>
      <c r="E30" s="42">
        <v>410</v>
      </c>
      <c r="F30" s="43" t="s">
        <v>102</v>
      </c>
      <c r="G30" s="44">
        <f t="shared" si="20"/>
        <v>461000000</v>
      </c>
      <c r="H30" s="45">
        <v>0</v>
      </c>
      <c r="I30" s="45">
        <f t="shared" si="31"/>
        <v>-461000000</v>
      </c>
      <c r="J30" s="44"/>
      <c r="K30" s="44"/>
      <c r="L30" s="44"/>
      <c r="M30" s="44"/>
      <c r="N30" s="44"/>
      <c r="O30" s="44"/>
      <c r="P30" s="44"/>
      <c r="Q30" s="44">
        <f>300000000+161000000</f>
        <v>461000000</v>
      </c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6">
        <f t="shared" si="1"/>
        <v>0.56709078524945766</v>
      </c>
      <c r="AH30" s="44">
        <f t="shared" si="21"/>
        <v>261428852</v>
      </c>
      <c r="AI30" s="44"/>
      <c r="AJ30" s="44"/>
      <c r="AK30" s="44"/>
      <c r="AL30" s="44"/>
      <c r="AM30" s="44"/>
      <c r="AN30" s="44"/>
      <c r="AO30" s="44"/>
      <c r="AP30" s="44">
        <f>+'[5]Acuerdo PLAN INVERSIÓN 2021'!$S$1466</f>
        <v>261428852</v>
      </c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6">
        <f t="shared" si="12"/>
        <v>0.43290921475054234</v>
      </c>
      <c r="BG30" s="44">
        <f t="shared" si="22"/>
        <v>199571148</v>
      </c>
      <c r="BH30" s="44">
        <f t="shared" si="23"/>
        <v>0</v>
      </c>
      <c r="BI30" s="44">
        <f t="shared" si="23"/>
        <v>0</v>
      </c>
      <c r="BJ30" s="44">
        <f t="shared" si="23"/>
        <v>0</v>
      </c>
      <c r="BK30" s="44">
        <f t="shared" si="23"/>
        <v>0</v>
      </c>
      <c r="BL30" s="44">
        <f t="shared" si="23"/>
        <v>0</v>
      </c>
      <c r="BM30" s="44">
        <f t="shared" si="23"/>
        <v>0</v>
      </c>
      <c r="BN30" s="44">
        <f t="shared" si="23"/>
        <v>0</v>
      </c>
      <c r="BO30" s="44">
        <f t="shared" si="23"/>
        <v>199571148</v>
      </c>
      <c r="BP30" s="44">
        <f t="shared" si="23"/>
        <v>0</v>
      </c>
      <c r="BQ30" s="44">
        <f t="shared" si="23"/>
        <v>0</v>
      </c>
      <c r="BR30" s="44">
        <f t="shared" si="23"/>
        <v>0</v>
      </c>
      <c r="BS30" s="44">
        <f t="shared" si="23"/>
        <v>0</v>
      </c>
      <c r="BT30" s="44">
        <f t="shared" si="23"/>
        <v>0</v>
      </c>
      <c r="BU30" s="44">
        <f t="shared" si="23"/>
        <v>0</v>
      </c>
      <c r="BV30" s="44">
        <f t="shared" si="23"/>
        <v>0</v>
      </c>
      <c r="BW30" s="44">
        <f t="shared" si="23"/>
        <v>0</v>
      </c>
      <c r="BX30" s="44">
        <f t="shared" si="24"/>
        <v>0</v>
      </c>
      <c r="BY30" s="44">
        <f t="shared" si="24"/>
        <v>0</v>
      </c>
      <c r="BZ30" s="44">
        <f t="shared" si="24"/>
        <v>0</v>
      </c>
      <c r="CA30" s="44">
        <f t="shared" si="24"/>
        <v>0</v>
      </c>
      <c r="CB30" s="44">
        <f t="shared" si="24"/>
        <v>0</v>
      </c>
      <c r="CC30" s="44">
        <f t="shared" si="24"/>
        <v>0</v>
      </c>
      <c r="CD30" s="44">
        <f t="shared" si="24"/>
        <v>0</v>
      </c>
      <c r="CE30" s="46">
        <f t="shared" si="6"/>
        <v>0.53204311496746204</v>
      </c>
      <c r="CF30" s="44">
        <f t="shared" si="25"/>
        <v>245271876</v>
      </c>
      <c r="CG30" s="44"/>
      <c r="CH30" s="44"/>
      <c r="CI30" s="44"/>
      <c r="CJ30" s="44"/>
      <c r="CK30" s="44"/>
      <c r="CL30" s="44"/>
      <c r="CM30" s="44"/>
      <c r="CN30" s="44">
        <f>+'[5]Acuerdo PLAN INVERSIÓN 2021'!$H$1464</f>
        <v>245271876</v>
      </c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6">
        <f t="shared" si="8"/>
        <v>0.46795688503253796</v>
      </c>
      <c r="DE30" s="44">
        <f t="shared" si="26"/>
        <v>215728124</v>
      </c>
      <c r="DF30" s="44">
        <f t="shared" si="27"/>
        <v>0</v>
      </c>
      <c r="DG30" s="44">
        <f t="shared" si="27"/>
        <v>0</v>
      </c>
      <c r="DH30" s="44">
        <f t="shared" si="27"/>
        <v>0</v>
      </c>
      <c r="DI30" s="44">
        <f t="shared" si="27"/>
        <v>0</v>
      </c>
      <c r="DJ30" s="44">
        <f t="shared" si="27"/>
        <v>0</v>
      </c>
      <c r="DK30" s="44">
        <f t="shared" si="27"/>
        <v>0</v>
      </c>
      <c r="DL30" s="44">
        <f t="shared" si="27"/>
        <v>0</v>
      </c>
      <c r="DM30" s="44">
        <f t="shared" si="27"/>
        <v>215728124</v>
      </c>
      <c r="DN30" s="44">
        <f t="shared" si="27"/>
        <v>0</v>
      </c>
      <c r="DO30" s="44">
        <f t="shared" si="27"/>
        <v>0</v>
      </c>
      <c r="DP30" s="44">
        <f t="shared" si="27"/>
        <v>0</v>
      </c>
      <c r="DQ30" s="44">
        <f t="shared" si="27"/>
        <v>0</v>
      </c>
      <c r="DR30" s="44">
        <f t="shared" si="27"/>
        <v>0</v>
      </c>
      <c r="DS30" s="44">
        <f t="shared" si="27"/>
        <v>0</v>
      </c>
      <c r="DT30" s="44">
        <f t="shared" si="27"/>
        <v>0</v>
      </c>
      <c r="DU30" s="44">
        <f t="shared" si="27"/>
        <v>0</v>
      </c>
      <c r="DV30" s="44">
        <f t="shared" si="28"/>
        <v>0</v>
      </c>
      <c r="DW30" s="44">
        <f t="shared" si="28"/>
        <v>0</v>
      </c>
      <c r="DX30" s="44">
        <f t="shared" si="28"/>
        <v>0</v>
      </c>
      <c r="DY30" s="44">
        <f t="shared" si="28"/>
        <v>0</v>
      </c>
      <c r="DZ30" s="44">
        <f t="shared" si="28"/>
        <v>0</v>
      </c>
      <c r="EA30" s="44">
        <f t="shared" si="28"/>
        <v>0</v>
      </c>
      <c r="EB30" s="44">
        <f t="shared" si="28"/>
        <v>0</v>
      </c>
      <c r="EE30" s="75">
        <f t="shared" si="29"/>
        <v>461000000</v>
      </c>
      <c r="EF30" s="75">
        <f t="shared" si="30"/>
        <v>245271876</v>
      </c>
    </row>
    <row r="31" spans="1:137" ht="21" hidden="1" customHeight="1" x14ac:dyDescent="0.25">
      <c r="A31" s="52"/>
      <c r="B31" s="82"/>
      <c r="C31" s="40" t="s">
        <v>116</v>
      </c>
      <c r="D31" s="54" t="s">
        <v>117</v>
      </c>
      <c r="E31" s="42">
        <v>410</v>
      </c>
      <c r="F31" s="43" t="s">
        <v>102</v>
      </c>
      <c r="G31" s="44">
        <f t="shared" si="20"/>
        <v>300000000</v>
      </c>
      <c r="H31" s="45"/>
      <c r="I31" s="45">
        <f t="shared" si="31"/>
        <v>-300000000</v>
      </c>
      <c r="J31" s="44"/>
      <c r="K31" s="44"/>
      <c r="L31" s="44"/>
      <c r="M31" s="44"/>
      <c r="N31" s="44"/>
      <c r="O31" s="44"/>
      <c r="P31" s="44"/>
      <c r="Q31" s="44">
        <v>300000000</v>
      </c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6">
        <f t="shared" si="1"/>
        <v>0.68102921666666671</v>
      </c>
      <c r="AH31" s="44">
        <f t="shared" si="21"/>
        <v>204308765</v>
      </c>
      <c r="AI31" s="44"/>
      <c r="AJ31" s="44"/>
      <c r="AK31" s="44"/>
      <c r="AL31" s="44"/>
      <c r="AM31" s="44"/>
      <c r="AN31" s="44"/>
      <c r="AO31" s="44"/>
      <c r="AP31" s="44">
        <f>+'[5]Acuerdo PLAN INVERSIÓN 2021'!$S$1625</f>
        <v>204308765</v>
      </c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6">
        <f t="shared" si="12"/>
        <v>0.31897078333333329</v>
      </c>
      <c r="BG31" s="44">
        <f t="shared" si="22"/>
        <v>95691235</v>
      </c>
      <c r="BH31" s="44">
        <f t="shared" si="23"/>
        <v>0</v>
      </c>
      <c r="BI31" s="44">
        <f t="shared" si="23"/>
        <v>0</v>
      </c>
      <c r="BJ31" s="44">
        <f t="shared" si="23"/>
        <v>0</v>
      </c>
      <c r="BK31" s="44">
        <f t="shared" si="23"/>
        <v>0</v>
      </c>
      <c r="BL31" s="44">
        <f t="shared" si="23"/>
        <v>0</v>
      </c>
      <c r="BM31" s="44">
        <f t="shared" si="23"/>
        <v>0</v>
      </c>
      <c r="BN31" s="44">
        <f t="shared" si="23"/>
        <v>0</v>
      </c>
      <c r="BO31" s="44">
        <f t="shared" si="23"/>
        <v>95691235</v>
      </c>
      <c r="BP31" s="44">
        <f t="shared" si="23"/>
        <v>0</v>
      </c>
      <c r="BQ31" s="44">
        <f t="shared" si="23"/>
        <v>0</v>
      </c>
      <c r="BR31" s="44">
        <f t="shared" si="23"/>
        <v>0</v>
      </c>
      <c r="BS31" s="44">
        <f t="shared" si="23"/>
        <v>0</v>
      </c>
      <c r="BT31" s="44">
        <f t="shared" si="23"/>
        <v>0</v>
      </c>
      <c r="BU31" s="44">
        <f t="shared" si="23"/>
        <v>0</v>
      </c>
      <c r="BV31" s="44">
        <f t="shared" si="23"/>
        <v>0</v>
      </c>
      <c r="BW31" s="44">
        <f t="shared" si="23"/>
        <v>0</v>
      </c>
      <c r="BX31" s="44">
        <f t="shared" si="24"/>
        <v>0</v>
      </c>
      <c r="BY31" s="44">
        <f t="shared" si="24"/>
        <v>0</v>
      </c>
      <c r="BZ31" s="44">
        <f t="shared" si="24"/>
        <v>0</v>
      </c>
      <c r="CA31" s="44">
        <f t="shared" si="24"/>
        <v>0</v>
      </c>
      <c r="CB31" s="44">
        <f t="shared" si="24"/>
        <v>0</v>
      </c>
      <c r="CC31" s="44">
        <f t="shared" si="24"/>
        <v>0</v>
      </c>
      <c r="CD31" s="44">
        <f t="shared" si="24"/>
        <v>0</v>
      </c>
      <c r="CE31" s="46">
        <f t="shared" si="6"/>
        <v>0.47073561000000003</v>
      </c>
      <c r="CF31" s="44">
        <f t="shared" si="25"/>
        <v>141220683</v>
      </c>
      <c r="CG31" s="44"/>
      <c r="CH31" s="44"/>
      <c r="CI31" s="44"/>
      <c r="CJ31" s="44"/>
      <c r="CK31" s="44"/>
      <c r="CL31" s="44"/>
      <c r="CM31" s="44"/>
      <c r="CN31" s="44">
        <f>+'[5]Acuerdo PLAN INVERSIÓN 2021'!$H$1623</f>
        <v>141220683</v>
      </c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6">
        <f t="shared" si="8"/>
        <v>0.52926439000000003</v>
      </c>
      <c r="DE31" s="44">
        <f t="shared" si="26"/>
        <v>158779317</v>
      </c>
      <c r="DF31" s="44">
        <f t="shared" si="27"/>
        <v>0</v>
      </c>
      <c r="DG31" s="44">
        <f t="shared" si="27"/>
        <v>0</v>
      </c>
      <c r="DH31" s="44">
        <f t="shared" si="27"/>
        <v>0</v>
      </c>
      <c r="DI31" s="44">
        <f t="shared" si="27"/>
        <v>0</v>
      </c>
      <c r="DJ31" s="44">
        <f t="shared" si="27"/>
        <v>0</v>
      </c>
      <c r="DK31" s="44">
        <f t="shared" si="27"/>
        <v>0</v>
      </c>
      <c r="DL31" s="44">
        <f t="shared" si="27"/>
        <v>0</v>
      </c>
      <c r="DM31" s="44">
        <f t="shared" si="27"/>
        <v>158779317</v>
      </c>
      <c r="DN31" s="44">
        <f t="shared" si="27"/>
        <v>0</v>
      </c>
      <c r="DO31" s="44">
        <f t="shared" si="27"/>
        <v>0</v>
      </c>
      <c r="DP31" s="44">
        <f t="shared" si="27"/>
        <v>0</v>
      </c>
      <c r="DQ31" s="44">
        <f t="shared" si="27"/>
        <v>0</v>
      </c>
      <c r="DR31" s="44">
        <f t="shared" si="27"/>
        <v>0</v>
      </c>
      <c r="DS31" s="44">
        <f t="shared" si="27"/>
        <v>0</v>
      </c>
      <c r="DT31" s="44">
        <f t="shared" si="27"/>
        <v>0</v>
      </c>
      <c r="DU31" s="44">
        <f t="shared" si="27"/>
        <v>0</v>
      </c>
      <c r="DV31" s="44">
        <f t="shared" si="28"/>
        <v>0</v>
      </c>
      <c r="DW31" s="44">
        <f t="shared" si="28"/>
        <v>0</v>
      </c>
      <c r="DX31" s="44">
        <f t="shared" si="28"/>
        <v>0</v>
      </c>
      <c r="DY31" s="44">
        <f t="shared" si="28"/>
        <v>0</v>
      </c>
      <c r="DZ31" s="44">
        <f t="shared" si="28"/>
        <v>0</v>
      </c>
      <c r="EA31" s="44">
        <f t="shared" si="28"/>
        <v>0</v>
      </c>
      <c r="EB31" s="44">
        <f t="shared" si="28"/>
        <v>0</v>
      </c>
      <c r="EE31" s="75">
        <f t="shared" si="29"/>
        <v>300000000</v>
      </c>
      <c r="EF31" s="75">
        <f t="shared" si="30"/>
        <v>141220683</v>
      </c>
    </row>
    <row r="32" spans="1:137" ht="23.25" hidden="1" customHeight="1" x14ac:dyDescent="0.25">
      <c r="A32" s="52"/>
      <c r="B32" s="82"/>
      <c r="C32" s="40" t="s">
        <v>118</v>
      </c>
      <c r="D32" s="54" t="s">
        <v>119</v>
      </c>
      <c r="E32" s="42">
        <v>410</v>
      </c>
      <c r="F32" s="43" t="s">
        <v>111</v>
      </c>
      <c r="G32" s="44">
        <f t="shared" si="20"/>
        <v>111215829</v>
      </c>
      <c r="H32" s="45"/>
      <c r="I32" s="45">
        <f t="shared" si="31"/>
        <v>-111215829</v>
      </c>
      <c r="J32" s="44"/>
      <c r="K32" s="44"/>
      <c r="L32" s="44"/>
      <c r="M32" s="44"/>
      <c r="N32" s="44"/>
      <c r="O32" s="44"/>
      <c r="P32" s="44"/>
      <c r="Q32" s="44">
        <f>11215829+50000000</f>
        <v>61215829</v>
      </c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50000000</v>
      </c>
      <c r="AC32" s="44"/>
      <c r="AD32" s="44"/>
      <c r="AE32" s="44"/>
      <c r="AF32" s="44"/>
      <c r="AG32" s="46">
        <f t="shared" si="1"/>
        <v>0.61583219417444612</v>
      </c>
      <c r="AH32" s="44">
        <f t="shared" si="21"/>
        <v>68490288</v>
      </c>
      <c r="AI32" s="44"/>
      <c r="AJ32" s="44"/>
      <c r="AK32" s="44"/>
      <c r="AL32" s="44"/>
      <c r="AM32" s="44"/>
      <c r="AN32" s="44"/>
      <c r="AO32" s="44"/>
      <c r="AP32" s="44">
        <f>+'[6]Acuerdo PLAN INVERSIÓN 2021'!$S$1389</f>
        <v>18490288</v>
      </c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>
        <f>+'[6]Acuerdo PLAN INVERSIÓN 2021'!$Y$1389</f>
        <v>50000000</v>
      </c>
      <c r="BB32" s="44"/>
      <c r="BC32" s="44"/>
      <c r="BD32" s="44"/>
      <c r="BE32" s="44"/>
      <c r="BF32" s="46">
        <f t="shared" si="12"/>
        <v>0.38416780582555388</v>
      </c>
      <c r="BG32" s="44">
        <f t="shared" si="22"/>
        <v>42725541</v>
      </c>
      <c r="BH32" s="44">
        <f t="shared" si="23"/>
        <v>0</v>
      </c>
      <c r="BI32" s="44">
        <f t="shared" si="23"/>
        <v>0</v>
      </c>
      <c r="BJ32" s="44">
        <f t="shared" si="23"/>
        <v>0</v>
      </c>
      <c r="BK32" s="44">
        <f t="shared" si="23"/>
        <v>0</v>
      </c>
      <c r="BL32" s="44">
        <f t="shared" si="23"/>
        <v>0</v>
      </c>
      <c r="BM32" s="44">
        <f t="shared" si="23"/>
        <v>0</v>
      </c>
      <c r="BN32" s="44">
        <f t="shared" si="23"/>
        <v>0</v>
      </c>
      <c r="BO32" s="44">
        <f t="shared" si="23"/>
        <v>42725541</v>
      </c>
      <c r="BP32" s="44">
        <f t="shared" si="23"/>
        <v>0</v>
      </c>
      <c r="BQ32" s="44">
        <f t="shared" si="23"/>
        <v>0</v>
      </c>
      <c r="BR32" s="44">
        <f t="shared" si="23"/>
        <v>0</v>
      </c>
      <c r="BS32" s="44">
        <f t="shared" si="23"/>
        <v>0</v>
      </c>
      <c r="BT32" s="44">
        <f t="shared" si="23"/>
        <v>0</v>
      </c>
      <c r="BU32" s="44">
        <f t="shared" si="23"/>
        <v>0</v>
      </c>
      <c r="BV32" s="44">
        <f t="shared" si="23"/>
        <v>0</v>
      </c>
      <c r="BW32" s="44">
        <f t="shared" si="23"/>
        <v>0</v>
      </c>
      <c r="BX32" s="44">
        <f t="shared" si="24"/>
        <v>0</v>
      </c>
      <c r="BY32" s="44">
        <f t="shared" si="24"/>
        <v>0</v>
      </c>
      <c r="BZ32" s="44">
        <f t="shared" si="24"/>
        <v>0</v>
      </c>
      <c r="CA32" s="44">
        <f t="shared" si="24"/>
        <v>0</v>
      </c>
      <c r="CB32" s="44">
        <f t="shared" si="24"/>
        <v>0</v>
      </c>
      <c r="CC32" s="44">
        <f t="shared" si="24"/>
        <v>0</v>
      </c>
      <c r="CD32" s="44">
        <f t="shared" si="24"/>
        <v>0</v>
      </c>
      <c r="CE32" s="46">
        <f t="shared" si="6"/>
        <v>0.15933062909597159</v>
      </c>
      <c r="CF32" s="44">
        <f t="shared" si="25"/>
        <v>17720088</v>
      </c>
      <c r="CG32" s="44"/>
      <c r="CH32" s="44"/>
      <c r="CI32" s="44"/>
      <c r="CJ32" s="44"/>
      <c r="CK32" s="44"/>
      <c r="CL32" s="44"/>
      <c r="CM32" s="44"/>
      <c r="CN32" s="44">
        <f>+'[5]Acuerdo PLAN INVERSIÓN 2021'!$H$1725+'[5]Acuerdo PLAN INVERSIÓN 2021'!$H$1728+'[5]Acuerdo PLAN INVERSIÓN 2021'!$H$1731+'[5]Acuerdo PLAN INVERSIÓN 2021'!$H$1734+'[5]Acuerdo PLAN INVERSIÓN 2021'!$H$1739+'[5]Acuerdo PLAN INVERSIÓN 2021'!$H$1742+'[5]Acuerdo PLAN INVERSIÓN 2021'!$H$1745+'[5]Acuerdo PLAN INVERSIÓN 2021'!$H$1748+'[5]Acuerdo PLAN INVERSIÓN 2021'!$H$1753+'[5]Acuerdo PLAN INVERSIÓN 2021'!$H$1756+'[5]Acuerdo PLAN INVERSIÓN 2021'!$H$1759+'[5]Acuerdo PLAN INVERSIÓN 2021'!$H$1762+'[5]Acuerdo PLAN INVERSIÓN 2021'!$H$1765</f>
        <v>17720088</v>
      </c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6">
        <f t="shared" si="8"/>
        <v>0.84066937090402838</v>
      </c>
      <c r="DE32" s="44">
        <f t="shared" si="26"/>
        <v>93495741</v>
      </c>
      <c r="DF32" s="44">
        <f t="shared" si="27"/>
        <v>0</v>
      </c>
      <c r="DG32" s="44">
        <f t="shared" si="27"/>
        <v>0</v>
      </c>
      <c r="DH32" s="44">
        <f t="shared" si="27"/>
        <v>0</v>
      </c>
      <c r="DI32" s="44">
        <f t="shared" si="27"/>
        <v>0</v>
      </c>
      <c r="DJ32" s="44">
        <f t="shared" si="27"/>
        <v>0</v>
      </c>
      <c r="DK32" s="44">
        <f t="shared" si="27"/>
        <v>0</v>
      </c>
      <c r="DL32" s="44">
        <f t="shared" si="27"/>
        <v>0</v>
      </c>
      <c r="DM32" s="44">
        <f t="shared" si="27"/>
        <v>43495741</v>
      </c>
      <c r="DN32" s="44">
        <f t="shared" si="27"/>
        <v>0</v>
      </c>
      <c r="DO32" s="44">
        <f t="shared" si="27"/>
        <v>0</v>
      </c>
      <c r="DP32" s="44">
        <f t="shared" si="27"/>
        <v>0</v>
      </c>
      <c r="DQ32" s="44">
        <f t="shared" si="27"/>
        <v>0</v>
      </c>
      <c r="DR32" s="44">
        <f t="shared" si="27"/>
        <v>0</v>
      </c>
      <c r="DS32" s="44">
        <f t="shared" si="27"/>
        <v>0</v>
      </c>
      <c r="DT32" s="44">
        <f t="shared" si="27"/>
        <v>0</v>
      </c>
      <c r="DU32" s="44">
        <f t="shared" si="27"/>
        <v>0</v>
      </c>
      <c r="DV32" s="44">
        <f t="shared" si="28"/>
        <v>0</v>
      </c>
      <c r="DW32" s="44">
        <f t="shared" si="28"/>
        <v>0</v>
      </c>
      <c r="DX32" s="44">
        <f t="shared" si="28"/>
        <v>50000000</v>
      </c>
      <c r="DY32" s="44">
        <f t="shared" si="28"/>
        <v>0</v>
      </c>
      <c r="DZ32" s="44">
        <f t="shared" si="28"/>
        <v>0</v>
      </c>
      <c r="EA32" s="44">
        <f t="shared" si="28"/>
        <v>0</v>
      </c>
      <c r="EB32" s="44">
        <f t="shared" si="28"/>
        <v>0</v>
      </c>
      <c r="EE32" s="75">
        <f t="shared" si="29"/>
        <v>111215829</v>
      </c>
      <c r="EF32" s="75">
        <f t="shared" si="30"/>
        <v>17720088</v>
      </c>
    </row>
    <row r="33" spans="1:136" ht="26.25" hidden="1" customHeight="1" x14ac:dyDescent="0.25">
      <c r="A33" s="52"/>
      <c r="B33" s="82"/>
      <c r="C33" s="40" t="s">
        <v>120</v>
      </c>
      <c r="D33" s="54" t="s">
        <v>121</v>
      </c>
      <c r="E33" s="42">
        <v>410</v>
      </c>
      <c r="F33" s="43" t="s">
        <v>122</v>
      </c>
      <c r="G33" s="44">
        <f t="shared" si="20"/>
        <v>296000000</v>
      </c>
      <c r="H33" s="45">
        <v>327960000</v>
      </c>
      <c r="I33" s="45">
        <f t="shared" si="31"/>
        <v>31960000</v>
      </c>
      <c r="J33" s="44"/>
      <c r="K33" s="44"/>
      <c r="L33" s="44"/>
      <c r="M33" s="44"/>
      <c r="N33" s="44"/>
      <c r="O33" s="44"/>
      <c r="P33" s="44"/>
      <c r="Q33" s="44">
        <f>200000000+90000000</f>
        <v>290000000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>
        <f>3000000+3000000</f>
        <v>6000000</v>
      </c>
      <c r="AG33" s="46">
        <f t="shared" si="1"/>
        <v>0.86985321283783779</v>
      </c>
      <c r="AH33" s="44">
        <f t="shared" si="21"/>
        <v>257476551</v>
      </c>
      <c r="AI33" s="44"/>
      <c r="AJ33" s="44"/>
      <c r="AK33" s="44"/>
      <c r="AL33" s="44"/>
      <c r="AM33" s="44"/>
      <c r="AN33" s="44"/>
      <c r="AO33" s="44"/>
      <c r="AP33" s="44">
        <f>+'[5]Acuerdo PLAN INVERSIÓN 2021'!$S$1770</f>
        <v>251476551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>
        <f>+'[6]Acuerdo PLAN INVERSIÓN 2021'!$AF$1423</f>
        <v>6000000</v>
      </c>
      <c r="BF33" s="46">
        <f t="shared" si="12"/>
        <v>0.13014678716216221</v>
      </c>
      <c r="BG33" s="44">
        <f t="shared" si="22"/>
        <v>38523449</v>
      </c>
      <c r="BH33" s="44">
        <f t="shared" si="23"/>
        <v>0</v>
      </c>
      <c r="BI33" s="44">
        <f t="shared" si="23"/>
        <v>0</v>
      </c>
      <c r="BJ33" s="44">
        <f t="shared" si="23"/>
        <v>0</v>
      </c>
      <c r="BK33" s="44">
        <f t="shared" si="23"/>
        <v>0</v>
      </c>
      <c r="BL33" s="44">
        <f t="shared" si="23"/>
        <v>0</v>
      </c>
      <c r="BM33" s="44">
        <f t="shared" si="23"/>
        <v>0</v>
      </c>
      <c r="BN33" s="44">
        <f t="shared" si="23"/>
        <v>0</v>
      </c>
      <c r="BO33" s="44">
        <f t="shared" si="23"/>
        <v>38523449</v>
      </c>
      <c r="BP33" s="44">
        <f t="shared" si="23"/>
        <v>0</v>
      </c>
      <c r="BQ33" s="44">
        <f t="shared" si="23"/>
        <v>0</v>
      </c>
      <c r="BR33" s="44">
        <f t="shared" si="23"/>
        <v>0</v>
      </c>
      <c r="BS33" s="44">
        <f t="shared" si="23"/>
        <v>0</v>
      </c>
      <c r="BT33" s="44">
        <f t="shared" si="23"/>
        <v>0</v>
      </c>
      <c r="BU33" s="44">
        <f t="shared" si="23"/>
        <v>0</v>
      </c>
      <c r="BV33" s="44">
        <f t="shared" si="23"/>
        <v>0</v>
      </c>
      <c r="BW33" s="44">
        <f t="shared" si="23"/>
        <v>0</v>
      </c>
      <c r="BX33" s="44">
        <f t="shared" si="24"/>
        <v>0</v>
      </c>
      <c r="BY33" s="44">
        <f t="shared" si="24"/>
        <v>0</v>
      </c>
      <c r="BZ33" s="44">
        <f t="shared" si="24"/>
        <v>0</v>
      </c>
      <c r="CA33" s="44">
        <f t="shared" si="24"/>
        <v>0</v>
      </c>
      <c r="CB33" s="44">
        <f t="shared" si="24"/>
        <v>0</v>
      </c>
      <c r="CC33" s="44">
        <f t="shared" si="24"/>
        <v>0</v>
      </c>
      <c r="CD33" s="44">
        <f t="shared" si="24"/>
        <v>0</v>
      </c>
      <c r="CE33" s="46">
        <f t="shared" si="6"/>
        <v>0.35288062162162165</v>
      </c>
      <c r="CF33" s="44">
        <f t="shared" si="25"/>
        <v>104452664</v>
      </c>
      <c r="CG33" s="44"/>
      <c r="CH33" s="44"/>
      <c r="CI33" s="44"/>
      <c r="CJ33" s="44"/>
      <c r="CK33" s="44"/>
      <c r="CL33" s="44"/>
      <c r="CM33" s="44"/>
      <c r="CN33" s="44">
        <f>+'[5]Acuerdo PLAN INVERSIÓN 2021'!$H$1768-DC33</f>
        <v>98516664</v>
      </c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>
        <f>+'[5]Acuerdo PLAN INVERSIÓN 2021'!$H$1799+'[5]Acuerdo PLAN INVERSIÓN 2021'!$H$1802+'[5]Acuerdo PLAN INVERSIÓN 2021'!$H$1851+'[5]Acuerdo PLAN INVERSIÓN 2021'!$H$1855</f>
        <v>5936000</v>
      </c>
      <c r="DD33" s="46">
        <f t="shared" si="8"/>
        <v>0.64711937837837841</v>
      </c>
      <c r="DE33" s="44">
        <f t="shared" si="26"/>
        <v>191547336</v>
      </c>
      <c r="DF33" s="44">
        <f t="shared" si="27"/>
        <v>0</v>
      </c>
      <c r="DG33" s="44">
        <f t="shared" si="27"/>
        <v>0</v>
      </c>
      <c r="DH33" s="44">
        <f t="shared" si="27"/>
        <v>0</v>
      </c>
      <c r="DI33" s="44">
        <f t="shared" si="27"/>
        <v>0</v>
      </c>
      <c r="DJ33" s="44">
        <f t="shared" si="27"/>
        <v>0</v>
      </c>
      <c r="DK33" s="44">
        <f t="shared" si="27"/>
        <v>0</v>
      </c>
      <c r="DL33" s="44">
        <f t="shared" si="27"/>
        <v>0</v>
      </c>
      <c r="DM33" s="44">
        <f t="shared" si="27"/>
        <v>191483336</v>
      </c>
      <c r="DN33" s="44">
        <f t="shared" si="27"/>
        <v>0</v>
      </c>
      <c r="DO33" s="44">
        <f t="shared" si="27"/>
        <v>0</v>
      </c>
      <c r="DP33" s="44">
        <f t="shared" si="27"/>
        <v>0</v>
      </c>
      <c r="DQ33" s="44">
        <f t="shared" si="27"/>
        <v>0</v>
      </c>
      <c r="DR33" s="44">
        <f t="shared" si="27"/>
        <v>0</v>
      </c>
      <c r="DS33" s="44">
        <f t="shared" si="27"/>
        <v>0</v>
      </c>
      <c r="DT33" s="44">
        <f t="shared" si="27"/>
        <v>0</v>
      </c>
      <c r="DU33" s="44">
        <f t="shared" si="27"/>
        <v>0</v>
      </c>
      <c r="DV33" s="44">
        <f t="shared" si="28"/>
        <v>0</v>
      </c>
      <c r="DW33" s="44">
        <f t="shared" si="28"/>
        <v>0</v>
      </c>
      <c r="DX33" s="44">
        <f t="shared" si="28"/>
        <v>0</v>
      </c>
      <c r="DY33" s="44">
        <f t="shared" si="28"/>
        <v>0</v>
      </c>
      <c r="DZ33" s="44">
        <f t="shared" si="28"/>
        <v>0</v>
      </c>
      <c r="EA33" s="44">
        <f t="shared" si="28"/>
        <v>0</v>
      </c>
      <c r="EB33" s="44">
        <f t="shared" si="28"/>
        <v>64000</v>
      </c>
      <c r="EE33" s="75">
        <f t="shared" si="29"/>
        <v>296000000</v>
      </c>
      <c r="EF33" s="75">
        <f t="shared" si="30"/>
        <v>104452664</v>
      </c>
    </row>
    <row r="34" spans="1:136" ht="33" hidden="1" customHeight="1" x14ac:dyDescent="0.25">
      <c r="A34" s="50" t="s">
        <v>98</v>
      </c>
      <c r="B34" s="77" t="s">
        <v>123</v>
      </c>
      <c r="C34" s="83" t="s">
        <v>124</v>
      </c>
      <c r="D34" s="54" t="s">
        <v>125</v>
      </c>
      <c r="E34" s="55">
        <v>410</v>
      </c>
      <c r="F34" s="43" t="s">
        <v>126</v>
      </c>
      <c r="G34" s="44">
        <f>SUM(J34:AF34)</f>
        <v>101812653</v>
      </c>
      <c r="H34" s="45">
        <v>207000000</v>
      </c>
      <c r="I34" s="45">
        <f t="shared" si="31"/>
        <v>105187347</v>
      </c>
      <c r="J34" s="44"/>
      <c r="K34" s="44"/>
      <c r="L34" s="44"/>
      <c r="M34" s="44"/>
      <c r="N34" s="44"/>
      <c r="O34" s="44"/>
      <c r="P34" s="44"/>
      <c r="Q34" s="44">
        <f>40000000+12000000</f>
        <v>52000000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>
        <v>20000000</v>
      </c>
      <c r="AC34" s="44"/>
      <c r="AD34" s="44"/>
      <c r="AE34" s="44"/>
      <c r="AF34" s="44">
        <f>12312653+5000000+5000000+1500000+6000000</f>
        <v>29812653</v>
      </c>
      <c r="AG34" s="46">
        <f t="shared" si="1"/>
        <v>0.7689968947179876</v>
      </c>
      <c r="AH34" s="44">
        <f t="shared" si="21"/>
        <v>78293614</v>
      </c>
      <c r="AI34" s="44"/>
      <c r="AJ34" s="44"/>
      <c r="AK34" s="44"/>
      <c r="AL34" s="44"/>
      <c r="AM34" s="44"/>
      <c r="AN34" s="44"/>
      <c r="AO34" s="44"/>
      <c r="AP34" s="44">
        <f>+'[5]Acuerdo PLAN INVERSIÓN 2021'!$S$1866</f>
        <v>43720961</v>
      </c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>
        <f>+'[5]Acuerdo PLAN INVERSIÓN 2021'!$Y$1866</f>
        <v>12260000</v>
      </c>
      <c r="BB34" s="44"/>
      <c r="BC34" s="44"/>
      <c r="BD34" s="44"/>
      <c r="BE34" s="44">
        <f>+'[5]Acuerdo PLAN INVERSIÓN 2021'!$AF$1866</f>
        <v>22312653</v>
      </c>
      <c r="BF34" s="46">
        <f t="shared" si="12"/>
        <v>0.2310031052820124</v>
      </c>
      <c r="BG34" s="44">
        <f t="shared" si="22"/>
        <v>23519039</v>
      </c>
      <c r="BH34" s="44">
        <f t="shared" si="23"/>
        <v>0</v>
      </c>
      <c r="BI34" s="44">
        <f t="shared" si="23"/>
        <v>0</v>
      </c>
      <c r="BJ34" s="44">
        <f t="shared" si="23"/>
        <v>0</v>
      </c>
      <c r="BK34" s="44">
        <f t="shared" si="23"/>
        <v>0</v>
      </c>
      <c r="BL34" s="44">
        <f t="shared" si="23"/>
        <v>0</v>
      </c>
      <c r="BM34" s="44">
        <f t="shared" si="23"/>
        <v>0</v>
      </c>
      <c r="BN34" s="44">
        <f t="shared" si="23"/>
        <v>0</v>
      </c>
      <c r="BO34" s="44">
        <f t="shared" si="23"/>
        <v>8279039</v>
      </c>
      <c r="BP34" s="44">
        <f t="shared" si="23"/>
        <v>0</v>
      </c>
      <c r="BQ34" s="44">
        <f t="shared" si="23"/>
        <v>0</v>
      </c>
      <c r="BR34" s="44">
        <f t="shared" si="23"/>
        <v>0</v>
      </c>
      <c r="BS34" s="44">
        <f t="shared" si="23"/>
        <v>0</v>
      </c>
      <c r="BT34" s="44">
        <f t="shared" si="23"/>
        <v>0</v>
      </c>
      <c r="BU34" s="44">
        <f t="shared" si="23"/>
        <v>0</v>
      </c>
      <c r="BV34" s="44">
        <f t="shared" si="23"/>
        <v>0</v>
      </c>
      <c r="BW34" s="44">
        <f t="shared" si="23"/>
        <v>0</v>
      </c>
      <c r="BX34" s="44">
        <f t="shared" si="24"/>
        <v>0</v>
      </c>
      <c r="BY34" s="44">
        <f t="shared" si="24"/>
        <v>0</v>
      </c>
      <c r="BZ34" s="44">
        <f t="shared" si="24"/>
        <v>7740000</v>
      </c>
      <c r="CA34" s="44">
        <f t="shared" si="24"/>
        <v>0</v>
      </c>
      <c r="CB34" s="44">
        <f t="shared" si="24"/>
        <v>0</v>
      </c>
      <c r="CC34" s="44">
        <f t="shared" si="24"/>
        <v>0</v>
      </c>
      <c r="CD34" s="44">
        <f t="shared" si="24"/>
        <v>7500000</v>
      </c>
      <c r="CE34" s="46">
        <f t="shared" si="6"/>
        <v>0.47807170882778194</v>
      </c>
      <c r="CF34" s="44">
        <f t="shared" si="25"/>
        <v>48673749</v>
      </c>
      <c r="CG34" s="44"/>
      <c r="CH34" s="44"/>
      <c r="CI34" s="44"/>
      <c r="CJ34" s="44"/>
      <c r="CK34" s="44"/>
      <c r="CL34" s="44"/>
      <c r="CM34" s="44"/>
      <c r="CN34" s="44">
        <f>+'[5]Acuerdo PLAN INVERSIÓN 2021'!$H$1864-CY34-DC34</f>
        <v>23751096</v>
      </c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>
        <f>+'[5]Acuerdo PLAN INVERSIÓN 2021'!$H$1930+'[5]Acuerdo PLAN INVERSIÓN 2021'!$H$1945+'[5]Acuerdo PLAN INVERSIÓN 2021'!$H$1962+'[5]Acuerdo PLAN INVERSIÓN 2021'!$H$1970</f>
        <v>8610000</v>
      </c>
      <c r="CZ34" s="44"/>
      <c r="DA34" s="44"/>
      <c r="DB34" s="44"/>
      <c r="DC34" s="44">
        <f>+'[5]Acuerdo PLAN INVERSIÓN 2021'!$H$1871+'[5]Acuerdo PLAN INVERSIÓN 2021'!$H$1876+'[5]Acuerdo PLAN INVERSIÓN 2021'!$H$1879+'[5]Acuerdo PLAN INVERSIÓN 2021'!$H$1883+'[5]Acuerdo PLAN INVERSIÓN 2021'!$H$1904+'[5]Acuerdo PLAN INVERSIÓN 2021'!$H$1975</f>
        <v>16312653</v>
      </c>
      <c r="DD34" s="46">
        <f t="shared" si="8"/>
        <v>0.52192829117221806</v>
      </c>
      <c r="DE34" s="44">
        <f t="shared" si="26"/>
        <v>53138904</v>
      </c>
      <c r="DF34" s="44">
        <f t="shared" si="27"/>
        <v>0</v>
      </c>
      <c r="DG34" s="44">
        <f t="shared" si="27"/>
        <v>0</v>
      </c>
      <c r="DH34" s="44">
        <f t="shared" si="27"/>
        <v>0</v>
      </c>
      <c r="DI34" s="44">
        <f t="shared" si="27"/>
        <v>0</v>
      </c>
      <c r="DJ34" s="44">
        <f t="shared" si="27"/>
        <v>0</v>
      </c>
      <c r="DK34" s="44">
        <f t="shared" si="27"/>
        <v>0</v>
      </c>
      <c r="DL34" s="44">
        <f t="shared" si="27"/>
        <v>0</v>
      </c>
      <c r="DM34" s="44">
        <f t="shared" si="27"/>
        <v>28248904</v>
      </c>
      <c r="DN34" s="44">
        <f t="shared" si="27"/>
        <v>0</v>
      </c>
      <c r="DO34" s="44">
        <f t="shared" si="27"/>
        <v>0</v>
      </c>
      <c r="DP34" s="44">
        <f t="shared" si="27"/>
        <v>0</v>
      </c>
      <c r="DQ34" s="44">
        <f t="shared" si="27"/>
        <v>0</v>
      </c>
      <c r="DR34" s="44">
        <f t="shared" si="27"/>
        <v>0</v>
      </c>
      <c r="DS34" s="44">
        <f t="shared" si="27"/>
        <v>0</v>
      </c>
      <c r="DT34" s="44">
        <f t="shared" si="27"/>
        <v>0</v>
      </c>
      <c r="DU34" s="44">
        <f t="shared" si="27"/>
        <v>0</v>
      </c>
      <c r="DV34" s="44">
        <f t="shared" si="28"/>
        <v>0</v>
      </c>
      <c r="DW34" s="44">
        <f t="shared" si="28"/>
        <v>0</v>
      </c>
      <c r="DX34" s="44">
        <f t="shared" si="28"/>
        <v>11390000</v>
      </c>
      <c r="DY34" s="44">
        <f t="shared" si="28"/>
        <v>0</v>
      </c>
      <c r="DZ34" s="44">
        <f t="shared" si="28"/>
        <v>0</v>
      </c>
      <c r="EA34" s="44">
        <f t="shared" si="28"/>
        <v>0</v>
      </c>
      <c r="EB34" s="44">
        <f t="shared" si="28"/>
        <v>13500000</v>
      </c>
      <c r="EE34" s="75">
        <f t="shared" si="29"/>
        <v>101812653</v>
      </c>
      <c r="EF34" s="75">
        <f t="shared" si="30"/>
        <v>48673749</v>
      </c>
    </row>
    <row r="35" spans="1:136" ht="53.25" hidden="1" customHeight="1" x14ac:dyDescent="0.25">
      <c r="A35" s="50"/>
      <c r="B35" s="84"/>
      <c r="C35" s="83" t="s">
        <v>127</v>
      </c>
      <c r="D35" s="54" t="s">
        <v>128</v>
      </c>
      <c r="E35" s="55">
        <v>410</v>
      </c>
      <c r="F35" s="85" t="s">
        <v>129</v>
      </c>
      <c r="G35" s="44">
        <f t="shared" si="20"/>
        <v>101000000</v>
      </c>
      <c r="H35" s="45">
        <v>237500000</v>
      </c>
      <c r="I35" s="45">
        <f t="shared" si="31"/>
        <v>136500000</v>
      </c>
      <c r="J35" s="44"/>
      <c r="K35" s="44">
        <v>20000000</v>
      </c>
      <c r="L35" s="44"/>
      <c r="M35" s="44"/>
      <c r="N35" s="44"/>
      <c r="O35" s="44"/>
      <c r="P35" s="44"/>
      <c r="Q35" s="44">
        <f>20000000+12000000</f>
        <v>32000000</v>
      </c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>
        <f>43000000+6000000</f>
        <v>49000000</v>
      </c>
      <c r="AG35" s="46">
        <f t="shared" si="1"/>
        <v>0.63074257425742575</v>
      </c>
      <c r="AH35" s="44">
        <f t="shared" si="21"/>
        <v>63705000</v>
      </c>
      <c r="AI35" s="44"/>
      <c r="AJ35" s="44">
        <f>+'[6]Acuerdo PLAN INVERSIÓN 2021'!$J$1586</f>
        <v>15000000</v>
      </c>
      <c r="AK35" s="44"/>
      <c r="AL35" s="44"/>
      <c r="AM35" s="44"/>
      <c r="AN35" s="44"/>
      <c r="AO35" s="44"/>
      <c r="AP35" s="44">
        <f>+'[5]Acuerdo PLAN INVERSIÓN 2021'!$S$1983</f>
        <v>16000000</v>
      </c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>
        <f>+'[5]Acuerdo PLAN INVERSIÓN 2021'!$AF$1983</f>
        <v>32705000</v>
      </c>
      <c r="BF35" s="46">
        <f t="shared" si="12"/>
        <v>0.36925742574257425</v>
      </c>
      <c r="BG35" s="44">
        <f t="shared" si="22"/>
        <v>37295000</v>
      </c>
      <c r="BH35" s="44">
        <f t="shared" si="23"/>
        <v>0</v>
      </c>
      <c r="BI35" s="44">
        <f t="shared" si="23"/>
        <v>5000000</v>
      </c>
      <c r="BJ35" s="44">
        <f t="shared" si="23"/>
        <v>0</v>
      </c>
      <c r="BK35" s="44">
        <f t="shared" si="23"/>
        <v>0</v>
      </c>
      <c r="BL35" s="44">
        <f t="shared" si="23"/>
        <v>0</v>
      </c>
      <c r="BM35" s="44">
        <f t="shared" si="23"/>
        <v>0</v>
      </c>
      <c r="BN35" s="44">
        <f t="shared" si="23"/>
        <v>0</v>
      </c>
      <c r="BO35" s="44">
        <f t="shared" si="23"/>
        <v>16000000</v>
      </c>
      <c r="BP35" s="44">
        <f t="shared" si="23"/>
        <v>0</v>
      </c>
      <c r="BQ35" s="44">
        <f t="shared" si="23"/>
        <v>0</v>
      </c>
      <c r="BR35" s="44">
        <f t="shared" si="23"/>
        <v>0</v>
      </c>
      <c r="BS35" s="44">
        <f t="shared" si="23"/>
        <v>0</v>
      </c>
      <c r="BT35" s="44">
        <f t="shared" si="23"/>
        <v>0</v>
      </c>
      <c r="BU35" s="44">
        <f t="shared" si="23"/>
        <v>0</v>
      </c>
      <c r="BV35" s="44">
        <f t="shared" si="23"/>
        <v>0</v>
      </c>
      <c r="BW35" s="44">
        <f t="shared" si="23"/>
        <v>0</v>
      </c>
      <c r="BX35" s="44">
        <f t="shared" si="24"/>
        <v>0</v>
      </c>
      <c r="BY35" s="44">
        <f t="shared" si="24"/>
        <v>0</v>
      </c>
      <c r="BZ35" s="44">
        <f t="shared" si="24"/>
        <v>0</v>
      </c>
      <c r="CA35" s="44">
        <f t="shared" si="24"/>
        <v>0</v>
      </c>
      <c r="CB35" s="44">
        <f t="shared" si="24"/>
        <v>0</v>
      </c>
      <c r="CC35" s="44">
        <f t="shared" si="24"/>
        <v>0</v>
      </c>
      <c r="CD35" s="44">
        <f t="shared" si="24"/>
        <v>16295000</v>
      </c>
      <c r="CE35" s="46">
        <f t="shared" si="6"/>
        <v>0.50224282178217827</v>
      </c>
      <c r="CF35" s="44">
        <f t="shared" si="25"/>
        <v>50726525</v>
      </c>
      <c r="CG35" s="44"/>
      <c r="CH35" s="44">
        <f>+'[5]Acuerdo PLAN INVERSIÓN 2021'!$H$1996+'[5]Acuerdo PLAN INVERSIÓN 2021'!$H$2018</f>
        <v>14303783</v>
      </c>
      <c r="CI35" s="44"/>
      <c r="CJ35" s="44"/>
      <c r="CK35" s="44"/>
      <c r="CL35" s="44"/>
      <c r="CM35" s="44"/>
      <c r="CN35" s="44">
        <f>+'[5]Acuerdo PLAN INVERSIÓN 2021'!$H$1987+'[5]Acuerdo PLAN INVERSIÓN 2021'!$H$1990+'[5]Acuerdo PLAN INVERSIÓN 2021'!$H$2030+'[5]Acuerdo PLAN INVERSIÓN 2021'!$H$2033</f>
        <v>15913944</v>
      </c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>
        <f>+'[5]Acuerdo PLAN INVERSIÓN 2021'!$H$1981-CN35-CH35</f>
        <v>20508798</v>
      </c>
      <c r="DD35" s="46">
        <f t="shared" si="8"/>
        <v>0.49775717821782173</v>
      </c>
      <c r="DE35" s="44">
        <f t="shared" si="26"/>
        <v>50273475</v>
      </c>
      <c r="DF35" s="44">
        <f t="shared" si="27"/>
        <v>0</v>
      </c>
      <c r="DG35" s="44">
        <f t="shared" si="27"/>
        <v>5696217</v>
      </c>
      <c r="DH35" s="44">
        <f t="shared" si="27"/>
        <v>0</v>
      </c>
      <c r="DI35" s="44">
        <f t="shared" si="27"/>
        <v>0</v>
      </c>
      <c r="DJ35" s="44">
        <f t="shared" si="27"/>
        <v>0</v>
      </c>
      <c r="DK35" s="44">
        <f t="shared" si="27"/>
        <v>0</v>
      </c>
      <c r="DL35" s="44">
        <f t="shared" si="27"/>
        <v>0</v>
      </c>
      <c r="DM35" s="44">
        <f t="shared" si="27"/>
        <v>16086056</v>
      </c>
      <c r="DN35" s="44">
        <f t="shared" si="27"/>
        <v>0</v>
      </c>
      <c r="DO35" s="44">
        <f t="shared" si="27"/>
        <v>0</v>
      </c>
      <c r="DP35" s="44">
        <f t="shared" si="27"/>
        <v>0</v>
      </c>
      <c r="DQ35" s="44">
        <f t="shared" si="27"/>
        <v>0</v>
      </c>
      <c r="DR35" s="44">
        <f t="shared" si="27"/>
        <v>0</v>
      </c>
      <c r="DS35" s="44">
        <f t="shared" si="27"/>
        <v>0</v>
      </c>
      <c r="DT35" s="44">
        <f t="shared" si="27"/>
        <v>0</v>
      </c>
      <c r="DU35" s="44">
        <f t="shared" si="27"/>
        <v>0</v>
      </c>
      <c r="DV35" s="44">
        <f t="shared" si="28"/>
        <v>0</v>
      </c>
      <c r="DW35" s="44">
        <f t="shared" si="28"/>
        <v>0</v>
      </c>
      <c r="DX35" s="44">
        <f t="shared" si="28"/>
        <v>0</v>
      </c>
      <c r="DY35" s="44">
        <f t="shared" si="28"/>
        <v>0</v>
      </c>
      <c r="DZ35" s="44">
        <f t="shared" si="28"/>
        <v>0</v>
      </c>
      <c r="EA35" s="44">
        <f t="shared" si="28"/>
        <v>0</v>
      </c>
      <c r="EB35" s="44">
        <f t="shared" si="28"/>
        <v>28491202</v>
      </c>
      <c r="EE35" s="75">
        <f t="shared" si="29"/>
        <v>101000000</v>
      </c>
      <c r="EF35" s="75">
        <f t="shared" si="30"/>
        <v>50726525</v>
      </c>
    </row>
    <row r="36" spans="1:136" ht="37.15" hidden="1" customHeight="1" x14ac:dyDescent="0.25">
      <c r="A36" s="50"/>
      <c r="B36" s="84"/>
      <c r="C36" s="40" t="s">
        <v>130</v>
      </c>
      <c r="D36" s="54" t="s">
        <v>131</v>
      </c>
      <c r="E36" s="42">
        <v>410</v>
      </c>
      <c r="F36" s="65" t="s">
        <v>132</v>
      </c>
      <c r="G36" s="44">
        <f t="shared" si="20"/>
        <v>58800000</v>
      </c>
      <c r="H36" s="45">
        <v>14000000</v>
      </c>
      <c r="I36" s="45">
        <f t="shared" si="31"/>
        <v>-44800000</v>
      </c>
      <c r="J36" s="44"/>
      <c r="K36" s="44"/>
      <c r="L36" s="44"/>
      <c r="M36" s="44"/>
      <c r="N36" s="44"/>
      <c r="O36" s="44"/>
      <c r="P36" s="44"/>
      <c r="Q36" s="44">
        <f>12000000+10000000</f>
        <v>22000000</v>
      </c>
      <c r="R36" s="44"/>
      <c r="S36" s="44"/>
      <c r="T36" s="44"/>
      <c r="U36" s="44"/>
      <c r="V36" s="44"/>
      <c r="W36" s="44"/>
      <c r="X36" s="44"/>
      <c r="Y36" s="44"/>
      <c r="Z36" s="44"/>
      <c r="AA36" s="44">
        <f>20000000</f>
        <v>20000000</v>
      </c>
      <c r="AB36" s="44"/>
      <c r="AC36" s="44"/>
      <c r="AD36" s="44"/>
      <c r="AE36" s="44"/>
      <c r="AF36" s="44">
        <f>6000000+4000000+6800000</f>
        <v>16800000</v>
      </c>
      <c r="AG36" s="46">
        <f t="shared" si="1"/>
        <v>1</v>
      </c>
      <c r="AH36" s="44">
        <f t="shared" si="21"/>
        <v>58800000</v>
      </c>
      <c r="AI36" s="44"/>
      <c r="AJ36" s="44"/>
      <c r="AK36" s="44"/>
      <c r="AL36" s="44"/>
      <c r="AM36" s="44"/>
      <c r="AN36" s="44"/>
      <c r="AO36" s="44"/>
      <c r="AP36" s="44">
        <f>+'[9]Acuerdo PLAN INVERSIÓN 2021'!$S$531</f>
        <v>22000000</v>
      </c>
      <c r="AQ36" s="44"/>
      <c r="AR36" s="44"/>
      <c r="AS36" s="44"/>
      <c r="AT36" s="44"/>
      <c r="AU36" s="44"/>
      <c r="AV36" s="44"/>
      <c r="AW36" s="44"/>
      <c r="AX36" s="44"/>
      <c r="AY36" s="44"/>
      <c r="AZ36" s="44">
        <f>+'[4]Acuerdo PLAN INVERSIÓN 2021'!$X$803+'[3]Acuerdo PLAN INVERSIÓN 2021'!$X$950</f>
        <v>20000000</v>
      </c>
      <c r="BA36" s="44"/>
      <c r="BB36" s="44"/>
      <c r="BC36" s="44"/>
      <c r="BD36" s="44"/>
      <c r="BE36" s="44">
        <f>+'[1]Acuerdo PLAN INVERSIÓN 2021'!$AF$1342</f>
        <v>16800000</v>
      </c>
      <c r="BF36" s="46">
        <f t="shared" si="12"/>
        <v>0</v>
      </c>
      <c r="BG36" s="44">
        <f t="shared" si="22"/>
        <v>0</v>
      </c>
      <c r="BH36" s="44">
        <f t="shared" si="23"/>
        <v>0</v>
      </c>
      <c r="BI36" s="44">
        <f t="shared" si="23"/>
        <v>0</v>
      </c>
      <c r="BJ36" s="44">
        <f t="shared" si="23"/>
        <v>0</v>
      </c>
      <c r="BK36" s="44">
        <f t="shared" si="23"/>
        <v>0</v>
      </c>
      <c r="BL36" s="44">
        <f t="shared" si="23"/>
        <v>0</v>
      </c>
      <c r="BM36" s="44">
        <f t="shared" si="23"/>
        <v>0</v>
      </c>
      <c r="BN36" s="44">
        <f t="shared" si="23"/>
        <v>0</v>
      </c>
      <c r="BO36" s="44">
        <f t="shared" si="23"/>
        <v>0</v>
      </c>
      <c r="BP36" s="44">
        <f t="shared" si="23"/>
        <v>0</v>
      </c>
      <c r="BQ36" s="44">
        <f t="shared" si="23"/>
        <v>0</v>
      </c>
      <c r="BR36" s="44">
        <f t="shared" si="23"/>
        <v>0</v>
      </c>
      <c r="BS36" s="44">
        <f t="shared" si="23"/>
        <v>0</v>
      </c>
      <c r="BT36" s="44">
        <f t="shared" si="23"/>
        <v>0</v>
      </c>
      <c r="BU36" s="44">
        <f t="shared" si="23"/>
        <v>0</v>
      </c>
      <c r="BV36" s="44">
        <f t="shared" si="23"/>
        <v>0</v>
      </c>
      <c r="BW36" s="44">
        <f t="shared" si="23"/>
        <v>0</v>
      </c>
      <c r="BX36" s="44">
        <f t="shared" si="24"/>
        <v>0</v>
      </c>
      <c r="BY36" s="44">
        <f t="shared" si="24"/>
        <v>0</v>
      </c>
      <c r="BZ36" s="44">
        <f t="shared" si="24"/>
        <v>0</v>
      </c>
      <c r="CA36" s="44">
        <f t="shared" si="24"/>
        <v>0</v>
      </c>
      <c r="CB36" s="44">
        <f t="shared" si="24"/>
        <v>0</v>
      </c>
      <c r="CC36" s="44">
        <f t="shared" si="24"/>
        <v>0</v>
      </c>
      <c r="CD36" s="44">
        <f t="shared" si="24"/>
        <v>0</v>
      </c>
      <c r="CE36" s="46">
        <f t="shared" si="6"/>
        <v>0.75751636054421767</v>
      </c>
      <c r="CF36" s="44">
        <f t="shared" si="25"/>
        <v>44541962</v>
      </c>
      <c r="CG36" s="44"/>
      <c r="CH36" s="44"/>
      <c r="CI36" s="44"/>
      <c r="CJ36" s="44"/>
      <c r="CK36" s="44"/>
      <c r="CL36" s="44"/>
      <c r="CM36" s="44"/>
      <c r="CN36" s="44">
        <f>+'[9]Acuerdo PLAN INVERSIÓN 2021'!$H$535+'[9]Acuerdo PLAN INVERSIÓN 2021'!$H$542</f>
        <v>21810462</v>
      </c>
      <c r="CO36" s="44"/>
      <c r="CP36" s="44"/>
      <c r="CQ36" s="44"/>
      <c r="CR36" s="44"/>
      <c r="CS36" s="44"/>
      <c r="CT36" s="44"/>
      <c r="CU36" s="44"/>
      <c r="CV36" s="44"/>
      <c r="CW36" s="44"/>
      <c r="CX36" s="44">
        <f>+'[6]Acuerdo PLAN INVERSIÓN 2021'!$H$1641+'[6]Acuerdo PLAN INVERSIÓN 2021'!$H$1646+'[5]Acuerdo PLAN INVERSIÓN 2021'!$H$2065</f>
        <v>10579500</v>
      </c>
      <c r="CY36" s="44"/>
      <c r="CZ36" s="44"/>
      <c r="DA36" s="44"/>
      <c r="DB36" s="44"/>
      <c r="DC36" s="44">
        <f>+'[6]Acuerdo PLAN INVERSIÓN 2021'!$H$1628+'[6]Acuerdo PLAN INVERSIÓN 2021'!$H$1649+'[6]Acuerdo PLAN INVERSIÓN 2021'!$H$1653+'[6]Acuerdo PLAN INVERSIÓN 2021'!$H$1656</f>
        <v>12152000</v>
      </c>
      <c r="DD36" s="46">
        <f t="shared" si="8"/>
        <v>0.24248363945578233</v>
      </c>
      <c r="DE36" s="44">
        <f t="shared" si="26"/>
        <v>14258038</v>
      </c>
      <c r="DF36" s="44">
        <f t="shared" si="27"/>
        <v>0</v>
      </c>
      <c r="DG36" s="44">
        <f t="shared" si="27"/>
        <v>0</v>
      </c>
      <c r="DH36" s="44">
        <f t="shared" si="27"/>
        <v>0</v>
      </c>
      <c r="DI36" s="44">
        <f t="shared" si="27"/>
        <v>0</v>
      </c>
      <c r="DJ36" s="44">
        <f t="shared" si="27"/>
        <v>0</v>
      </c>
      <c r="DK36" s="44">
        <f t="shared" si="27"/>
        <v>0</v>
      </c>
      <c r="DL36" s="44">
        <f t="shared" si="27"/>
        <v>0</v>
      </c>
      <c r="DM36" s="44">
        <f t="shared" si="27"/>
        <v>189538</v>
      </c>
      <c r="DN36" s="44">
        <f t="shared" si="27"/>
        <v>0</v>
      </c>
      <c r="DO36" s="44">
        <f t="shared" si="27"/>
        <v>0</v>
      </c>
      <c r="DP36" s="44">
        <f t="shared" si="27"/>
        <v>0</v>
      </c>
      <c r="DQ36" s="44">
        <f t="shared" si="27"/>
        <v>0</v>
      </c>
      <c r="DR36" s="44">
        <f t="shared" si="27"/>
        <v>0</v>
      </c>
      <c r="DS36" s="44">
        <f t="shared" si="27"/>
        <v>0</v>
      </c>
      <c r="DT36" s="44">
        <f t="shared" si="27"/>
        <v>0</v>
      </c>
      <c r="DU36" s="44">
        <f t="shared" si="27"/>
        <v>0</v>
      </c>
      <c r="DV36" s="44">
        <f t="shared" si="28"/>
        <v>0</v>
      </c>
      <c r="DW36" s="44">
        <f t="shared" si="28"/>
        <v>9420500</v>
      </c>
      <c r="DX36" s="44">
        <f t="shared" si="28"/>
        <v>0</v>
      </c>
      <c r="DY36" s="44">
        <f t="shared" si="28"/>
        <v>0</v>
      </c>
      <c r="DZ36" s="44">
        <f t="shared" si="28"/>
        <v>0</v>
      </c>
      <c r="EA36" s="44">
        <f t="shared" si="28"/>
        <v>0</v>
      </c>
      <c r="EB36" s="44">
        <f t="shared" si="28"/>
        <v>4648000</v>
      </c>
      <c r="EE36" s="75">
        <f t="shared" si="29"/>
        <v>58800000</v>
      </c>
      <c r="EF36" s="75">
        <f t="shared" si="30"/>
        <v>44541962</v>
      </c>
    </row>
    <row r="37" spans="1:136" ht="32.450000000000003" hidden="1" customHeight="1" x14ac:dyDescent="0.25">
      <c r="A37" s="50"/>
      <c r="B37" s="84"/>
      <c r="C37" s="40" t="s">
        <v>133</v>
      </c>
      <c r="D37" s="54" t="s">
        <v>134</v>
      </c>
      <c r="E37" s="42">
        <v>410</v>
      </c>
      <c r="F37" s="43" t="s">
        <v>135</v>
      </c>
      <c r="G37" s="44">
        <f t="shared" si="20"/>
        <v>414000000</v>
      </c>
      <c r="H37" s="45">
        <f>280000000+500000000</f>
        <v>780000000</v>
      </c>
      <c r="I37" s="45">
        <f t="shared" si="31"/>
        <v>366000000</v>
      </c>
      <c r="J37" s="44"/>
      <c r="K37" s="44"/>
      <c r="L37" s="44"/>
      <c r="M37" s="44"/>
      <c r="N37" s="44"/>
      <c r="O37" s="44"/>
      <c r="P37" s="44"/>
      <c r="Q37" s="44">
        <f>260000000+90000000-16000000</f>
        <v>334000000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>
        <f>33000000+2000000+10000000+10000000+25000000</f>
        <v>80000000</v>
      </c>
      <c r="AG37" s="46">
        <f t="shared" si="1"/>
        <v>0.75509689130434787</v>
      </c>
      <c r="AH37" s="44">
        <f t="shared" si="21"/>
        <v>312610113</v>
      </c>
      <c r="AI37" s="44"/>
      <c r="AJ37" s="44"/>
      <c r="AK37" s="44"/>
      <c r="AL37" s="44"/>
      <c r="AM37" s="44"/>
      <c r="AN37" s="44"/>
      <c r="AO37" s="44"/>
      <c r="AP37" s="44">
        <f>+'[5]Acuerdo PLAN INVERSIÓN 2021'!$S$2084</f>
        <v>232610113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>
        <f>+'[1]Acuerdo PLAN INVERSIÓN 2021'!$AF$1371</f>
        <v>80000000</v>
      </c>
      <c r="BF37" s="46">
        <f t="shared" si="12"/>
        <v>0.24490310869565213</v>
      </c>
      <c r="BG37" s="44">
        <f t="shared" si="22"/>
        <v>101389887</v>
      </c>
      <c r="BH37" s="44">
        <f t="shared" si="23"/>
        <v>0</v>
      </c>
      <c r="BI37" s="44">
        <f t="shared" si="23"/>
        <v>0</v>
      </c>
      <c r="BJ37" s="44">
        <f t="shared" si="23"/>
        <v>0</v>
      </c>
      <c r="BK37" s="44">
        <f t="shared" si="23"/>
        <v>0</v>
      </c>
      <c r="BL37" s="44">
        <f t="shared" si="23"/>
        <v>0</v>
      </c>
      <c r="BM37" s="44">
        <f t="shared" si="23"/>
        <v>0</v>
      </c>
      <c r="BN37" s="44">
        <f t="shared" si="23"/>
        <v>0</v>
      </c>
      <c r="BO37" s="44">
        <f t="shared" si="23"/>
        <v>101389887</v>
      </c>
      <c r="BP37" s="44">
        <f t="shared" si="23"/>
        <v>0</v>
      </c>
      <c r="BQ37" s="44">
        <f t="shared" si="23"/>
        <v>0</v>
      </c>
      <c r="BR37" s="44">
        <f t="shared" si="23"/>
        <v>0</v>
      </c>
      <c r="BS37" s="44">
        <f t="shared" si="23"/>
        <v>0</v>
      </c>
      <c r="BT37" s="44">
        <f t="shared" si="23"/>
        <v>0</v>
      </c>
      <c r="BU37" s="44">
        <f t="shared" si="23"/>
        <v>0</v>
      </c>
      <c r="BV37" s="44">
        <f t="shared" si="23"/>
        <v>0</v>
      </c>
      <c r="BW37" s="44">
        <f t="shared" si="23"/>
        <v>0</v>
      </c>
      <c r="BX37" s="44">
        <f t="shared" si="24"/>
        <v>0</v>
      </c>
      <c r="BY37" s="44">
        <f t="shared" si="24"/>
        <v>0</v>
      </c>
      <c r="BZ37" s="44">
        <f t="shared" si="24"/>
        <v>0</v>
      </c>
      <c r="CA37" s="44">
        <f t="shared" si="24"/>
        <v>0</v>
      </c>
      <c r="CB37" s="44">
        <f t="shared" si="24"/>
        <v>0</v>
      </c>
      <c r="CC37" s="44">
        <f t="shared" si="24"/>
        <v>0</v>
      </c>
      <c r="CD37" s="44">
        <f t="shared" si="24"/>
        <v>0</v>
      </c>
      <c r="CE37" s="46">
        <f t="shared" si="6"/>
        <v>0.71033984782608695</v>
      </c>
      <c r="CF37" s="44">
        <f t="shared" si="25"/>
        <v>294080697</v>
      </c>
      <c r="CG37" s="44"/>
      <c r="CH37" s="44"/>
      <c r="CI37" s="44"/>
      <c r="CJ37" s="44"/>
      <c r="CK37" s="44"/>
      <c r="CL37" s="44"/>
      <c r="CM37" s="44"/>
      <c r="CN37" s="44">
        <f>+'[5]Acuerdo PLAN INVERSIÓN 2021'!$H$2082-DC37</f>
        <v>217151297</v>
      </c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>
        <f>+'[5]Acuerdo PLAN INVERSIÓN 2021'!$H$2122+'[5]Acuerdo PLAN INVERSIÓN 2021'!$H$2199+'[5]Acuerdo PLAN INVERSIÓN 2021'!$H$2218+'[5]Acuerdo PLAN INVERSIÓN 2021'!$H$2232</f>
        <v>76929400</v>
      </c>
      <c r="DD37" s="46">
        <f t="shared" si="8"/>
        <v>0.28966015217391305</v>
      </c>
      <c r="DE37" s="44">
        <f t="shared" si="26"/>
        <v>119919303</v>
      </c>
      <c r="DF37" s="44">
        <f t="shared" si="27"/>
        <v>0</v>
      </c>
      <c r="DG37" s="44">
        <f t="shared" si="27"/>
        <v>0</v>
      </c>
      <c r="DH37" s="44">
        <f t="shared" si="27"/>
        <v>0</v>
      </c>
      <c r="DI37" s="44">
        <f t="shared" si="27"/>
        <v>0</v>
      </c>
      <c r="DJ37" s="44">
        <f t="shared" si="27"/>
        <v>0</v>
      </c>
      <c r="DK37" s="44">
        <f t="shared" si="27"/>
        <v>0</v>
      </c>
      <c r="DL37" s="44">
        <f t="shared" si="27"/>
        <v>0</v>
      </c>
      <c r="DM37" s="44">
        <f t="shared" si="27"/>
        <v>116848703</v>
      </c>
      <c r="DN37" s="44">
        <f t="shared" si="27"/>
        <v>0</v>
      </c>
      <c r="DO37" s="44">
        <f t="shared" si="27"/>
        <v>0</v>
      </c>
      <c r="DP37" s="44">
        <f t="shared" si="27"/>
        <v>0</v>
      </c>
      <c r="DQ37" s="44">
        <f t="shared" si="27"/>
        <v>0</v>
      </c>
      <c r="DR37" s="44">
        <f t="shared" si="27"/>
        <v>0</v>
      </c>
      <c r="DS37" s="44">
        <f t="shared" si="27"/>
        <v>0</v>
      </c>
      <c r="DT37" s="44">
        <f t="shared" si="27"/>
        <v>0</v>
      </c>
      <c r="DU37" s="44">
        <f t="shared" si="27"/>
        <v>0</v>
      </c>
      <c r="DV37" s="44">
        <f t="shared" si="28"/>
        <v>0</v>
      </c>
      <c r="DW37" s="44">
        <f t="shared" si="28"/>
        <v>0</v>
      </c>
      <c r="DX37" s="44">
        <f t="shared" si="28"/>
        <v>0</v>
      </c>
      <c r="DY37" s="44">
        <f t="shared" si="28"/>
        <v>0</v>
      </c>
      <c r="DZ37" s="44">
        <f t="shared" si="28"/>
        <v>0</v>
      </c>
      <c r="EA37" s="44">
        <f t="shared" si="28"/>
        <v>0</v>
      </c>
      <c r="EB37" s="44">
        <f t="shared" si="28"/>
        <v>3070600</v>
      </c>
      <c r="EE37" s="75">
        <f t="shared" si="29"/>
        <v>414000000</v>
      </c>
      <c r="EF37" s="75">
        <f t="shared" si="30"/>
        <v>294080697</v>
      </c>
    </row>
    <row r="38" spans="1:136" ht="33.75" hidden="1" customHeight="1" x14ac:dyDescent="0.25">
      <c r="A38" s="50"/>
      <c r="B38" s="84"/>
      <c r="C38" s="83" t="s">
        <v>136</v>
      </c>
      <c r="D38" s="54" t="s">
        <v>137</v>
      </c>
      <c r="E38" s="55">
        <v>410</v>
      </c>
      <c r="F38" s="56" t="s">
        <v>138</v>
      </c>
      <c r="G38" s="44">
        <f t="shared" si="20"/>
        <v>694924898</v>
      </c>
      <c r="H38" s="45">
        <f>312000000+68000000</f>
        <v>380000000</v>
      </c>
      <c r="I38" s="45">
        <f t="shared" si="31"/>
        <v>-314924898</v>
      </c>
      <c r="J38" s="44"/>
      <c r="K38" s="44"/>
      <c r="L38" s="44"/>
      <c r="M38" s="44"/>
      <c r="N38" s="44"/>
      <c r="O38" s="44"/>
      <c r="P38" s="44"/>
      <c r="Q38" s="44">
        <f>300000000+60000000-5883333</f>
        <v>354116667</v>
      </c>
      <c r="R38" s="44"/>
      <c r="S38" s="44">
        <f>65000000+65000000</f>
        <v>130000000</v>
      </c>
      <c r="T38" s="44"/>
      <c r="U38" s="44"/>
      <c r="V38" s="44"/>
      <c r="W38" s="44"/>
      <c r="X38" s="44">
        <v>44699850</v>
      </c>
      <c r="Y38" s="44"/>
      <c r="Z38" s="44"/>
      <c r="AA38" s="44"/>
      <c r="AB38" s="44"/>
      <c r="AC38" s="44"/>
      <c r="AD38" s="44"/>
      <c r="AE38" s="44"/>
      <c r="AF38" s="44">
        <f>70000000+14000000+10000000+49193553+6000000+8738094+8176734</f>
        <v>166108381</v>
      </c>
      <c r="AG38" s="46">
        <f t="shared" si="1"/>
        <v>0.51109922816436493</v>
      </c>
      <c r="AH38" s="44">
        <f t="shared" si="21"/>
        <v>355175579</v>
      </c>
      <c r="AI38" s="44"/>
      <c r="AJ38" s="44"/>
      <c r="AK38" s="44"/>
      <c r="AL38" s="44"/>
      <c r="AM38" s="44"/>
      <c r="AN38" s="44"/>
      <c r="AO38" s="44"/>
      <c r="AP38" s="44">
        <f>+'[5]Acuerdo PLAN INVERSIÓN 2021'!$S$2262</f>
        <v>247978648</v>
      </c>
      <c r="AQ38" s="44"/>
      <c r="AR38" s="44">
        <f>+'[1]Acuerdo PLAN INVERSIÓN 2021'!$U$1510</f>
        <v>13998429</v>
      </c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>
        <f>+'[6]Acuerdo PLAN INVERSIÓN 2021'!$AF$1822</f>
        <v>93198502</v>
      </c>
      <c r="BF38" s="46">
        <f t="shared" si="12"/>
        <v>0.48890077183563507</v>
      </c>
      <c r="BG38" s="44">
        <f t="shared" si="22"/>
        <v>339749319</v>
      </c>
      <c r="BH38" s="44">
        <f t="shared" si="23"/>
        <v>0</v>
      </c>
      <c r="BI38" s="44">
        <f t="shared" si="23"/>
        <v>0</v>
      </c>
      <c r="BJ38" s="44">
        <f t="shared" si="23"/>
        <v>0</v>
      </c>
      <c r="BK38" s="44">
        <f t="shared" si="23"/>
        <v>0</v>
      </c>
      <c r="BL38" s="44">
        <f t="shared" si="23"/>
        <v>0</v>
      </c>
      <c r="BM38" s="44">
        <f t="shared" si="23"/>
        <v>0</v>
      </c>
      <c r="BN38" s="44">
        <f t="shared" si="23"/>
        <v>0</v>
      </c>
      <c r="BO38" s="44">
        <f t="shared" si="23"/>
        <v>106138019</v>
      </c>
      <c r="BP38" s="44">
        <f t="shared" si="23"/>
        <v>0</v>
      </c>
      <c r="BQ38" s="44">
        <f t="shared" si="23"/>
        <v>116001571</v>
      </c>
      <c r="BR38" s="44">
        <f t="shared" si="23"/>
        <v>0</v>
      </c>
      <c r="BS38" s="44">
        <f t="shared" si="23"/>
        <v>0</v>
      </c>
      <c r="BT38" s="44">
        <f t="shared" si="23"/>
        <v>0</v>
      </c>
      <c r="BU38" s="44">
        <f t="shared" si="23"/>
        <v>0</v>
      </c>
      <c r="BV38" s="44">
        <f t="shared" si="23"/>
        <v>44699850</v>
      </c>
      <c r="BW38" s="44">
        <f t="shared" si="23"/>
        <v>0</v>
      </c>
      <c r="BX38" s="44">
        <f t="shared" si="24"/>
        <v>0</v>
      </c>
      <c r="BY38" s="44">
        <f t="shared" si="24"/>
        <v>0</v>
      </c>
      <c r="BZ38" s="44">
        <f t="shared" si="24"/>
        <v>0</v>
      </c>
      <c r="CA38" s="44">
        <f t="shared" si="24"/>
        <v>0</v>
      </c>
      <c r="CB38" s="44">
        <f t="shared" si="24"/>
        <v>0</v>
      </c>
      <c r="CC38" s="44">
        <f t="shared" si="24"/>
        <v>0</v>
      </c>
      <c r="CD38" s="44">
        <f t="shared" si="24"/>
        <v>72909879</v>
      </c>
      <c r="CE38" s="46">
        <f t="shared" si="6"/>
        <v>0.34412712609413515</v>
      </c>
      <c r="CF38" s="44">
        <f t="shared" si="25"/>
        <v>239142508</v>
      </c>
      <c r="CG38" s="44"/>
      <c r="CH38" s="44"/>
      <c r="CI38" s="44"/>
      <c r="CJ38" s="44"/>
      <c r="CK38" s="44"/>
      <c r="CL38" s="44"/>
      <c r="CM38" s="44"/>
      <c r="CN38" s="44">
        <f>+'[5]Acuerdo PLAN INVERSIÓN 2021'!$H$2260-CP38-DC38</f>
        <v>158978682</v>
      </c>
      <c r="CO38" s="44"/>
      <c r="CP38" s="44">
        <f>+'[5]Acuerdo PLAN INVERSIÓN 2021'!$H$2316+'[5]Acuerdo PLAN INVERSIÓN 2021'!$H$2319+'[5]Acuerdo PLAN INVERSIÓN 2021'!$H$2322+'[5]Acuerdo PLAN INVERSIÓN 2021'!$H$2368+'[5]Acuerdo PLAN INVERSIÓN 2021'!$H$2371+'[5]Acuerdo PLAN INVERSIÓN 2021'!$H$2404+'[5]Acuerdo PLAN INVERSIÓN 2021'!$H$2423</f>
        <v>7535729</v>
      </c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>
        <f>+'[5]Acuerdo PLAN INVERSIÓN 2021'!$H$2266+'[5]Acuerdo PLAN INVERSIÓN 2021'!$H$2297+'[5]Acuerdo PLAN INVERSIÓN 2021'!$H$2300+'[5]Acuerdo PLAN INVERSIÓN 2021'!$H$2303+'[5]Acuerdo PLAN INVERSIÓN 2021'!$H$2306+'[5]Acuerdo PLAN INVERSIÓN 2021'!$H$2309+'[5]Acuerdo PLAN INVERSIÓN 2021'!$H$2312+'[5]Acuerdo PLAN INVERSIÓN 2021'!$H$2353+'[5]Acuerdo PLAN INVERSIÓN 2021'!$H$2381+'[5]Acuerdo PLAN INVERSIÓN 2021'!$H$2398+'[5]Acuerdo PLAN INVERSIÓN 2021'!$H$2401+'[5]Acuerdo PLAN INVERSIÓN 2021'!$H$2429+'[5]Acuerdo PLAN INVERSIÓN 2021'!$H$2433</f>
        <v>72628097</v>
      </c>
      <c r="DD38" s="46">
        <f t="shared" si="8"/>
        <v>0.65587287390586479</v>
      </c>
      <c r="DE38" s="44">
        <f t="shared" si="26"/>
        <v>455782390</v>
      </c>
      <c r="DF38" s="44">
        <f t="shared" si="27"/>
        <v>0</v>
      </c>
      <c r="DG38" s="44">
        <f t="shared" si="27"/>
        <v>0</v>
      </c>
      <c r="DH38" s="44">
        <f t="shared" si="27"/>
        <v>0</v>
      </c>
      <c r="DI38" s="44">
        <f t="shared" si="27"/>
        <v>0</v>
      </c>
      <c r="DJ38" s="44">
        <f t="shared" si="27"/>
        <v>0</v>
      </c>
      <c r="DK38" s="44">
        <f t="shared" si="27"/>
        <v>0</v>
      </c>
      <c r="DL38" s="44">
        <f t="shared" si="27"/>
        <v>0</v>
      </c>
      <c r="DM38" s="44">
        <f t="shared" si="27"/>
        <v>195137985</v>
      </c>
      <c r="DN38" s="44">
        <f t="shared" si="27"/>
        <v>0</v>
      </c>
      <c r="DO38" s="44">
        <f t="shared" si="27"/>
        <v>122464271</v>
      </c>
      <c r="DP38" s="44">
        <f t="shared" si="27"/>
        <v>0</v>
      </c>
      <c r="DQ38" s="44">
        <f t="shared" si="27"/>
        <v>0</v>
      </c>
      <c r="DR38" s="44">
        <f t="shared" si="27"/>
        <v>0</v>
      </c>
      <c r="DS38" s="44">
        <f t="shared" si="27"/>
        <v>0</v>
      </c>
      <c r="DT38" s="44">
        <f t="shared" si="27"/>
        <v>44699850</v>
      </c>
      <c r="DU38" s="44">
        <f t="shared" si="27"/>
        <v>0</v>
      </c>
      <c r="DV38" s="44">
        <f t="shared" si="28"/>
        <v>0</v>
      </c>
      <c r="DW38" s="44">
        <f t="shared" si="28"/>
        <v>0</v>
      </c>
      <c r="DX38" s="44">
        <f t="shared" si="28"/>
        <v>0</v>
      </c>
      <c r="DY38" s="44">
        <f t="shared" si="28"/>
        <v>0</v>
      </c>
      <c r="DZ38" s="44">
        <f t="shared" si="28"/>
        <v>0</v>
      </c>
      <c r="EA38" s="44">
        <f t="shared" si="28"/>
        <v>0</v>
      </c>
      <c r="EB38" s="44">
        <f t="shared" si="28"/>
        <v>93480284</v>
      </c>
      <c r="EE38" s="75">
        <f t="shared" si="29"/>
        <v>694924898</v>
      </c>
      <c r="EF38" s="75">
        <f t="shared" si="30"/>
        <v>239142508</v>
      </c>
    </row>
    <row r="39" spans="1:136" ht="18.75" hidden="1" customHeight="1" x14ac:dyDescent="0.25">
      <c r="A39" s="50"/>
      <c r="B39" s="84"/>
      <c r="C39" s="40" t="s">
        <v>139</v>
      </c>
      <c r="D39" s="54" t="s">
        <v>140</v>
      </c>
      <c r="E39" s="42">
        <v>410</v>
      </c>
      <c r="F39" s="56" t="s">
        <v>102</v>
      </c>
      <c r="G39" s="44">
        <f t="shared" si="20"/>
        <v>70883333</v>
      </c>
      <c r="H39" s="45">
        <v>36000000</v>
      </c>
      <c r="I39" s="45">
        <f t="shared" si="31"/>
        <v>-34883333</v>
      </c>
      <c r="J39" s="44"/>
      <c r="K39" s="44">
        <v>30000000</v>
      </c>
      <c r="L39" s="44"/>
      <c r="M39" s="44"/>
      <c r="N39" s="44"/>
      <c r="O39" s="44"/>
      <c r="P39" s="44"/>
      <c r="Q39" s="44">
        <f>30000000+5000000+5883333</f>
        <v>40883333</v>
      </c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6">
        <f t="shared" si="1"/>
        <v>1</v>
      </c>
      <c r="AH39" s="44">
        <f t="shared" si="21"/>
        <v>70883333</v>
      </c>
      <c r="AI39" s="44"/>
      <c r="AJ39" s="44">
        <f>+'[4]Acuerdo PLAN INVERSIÓN 2021'!$J$1014</f>
        <v>30000000</v>
      </c>
      <c r="AK39" s="44"/>
      <c r="AL39" s="44"/>
      <c r="AM39" s="44"/>
      <c r="AN39" s="44"/>
      <c r="AO39" s="44"/>
      <c r="AP39" s="44">
        <f>+'[6]Acuerdo PLAN INVERSIÓN 2021'!$S$2058</f>
        <v>40883333</v>
      </c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6">
        <f t="shared" si="12"/>
        <v>0</v>
      </c>
      <c r="BG39" s="44">
        <f t="shared" si="22"/>
        <v>0</v>
      </c>
      <c r="BH39" s="44">
        <f t="shared" si="23"/>
        <v>0</v>
      </c>
      <c r="BI39" s="44">
        <f t="shared" si="23"/>
        <v>0</v>
      </c>
      <c r="BJ39" s="44">
        <f t="shared" si="23"/>
        <v>0</v>
      </c>
      <c r="BK39" s="44">
        <f t="shared" si="23"/>
        <v>0</v>
      </c>
      <c r="BL39" s="44">
        <f t="shared" si="23"/>
        <v>0</v>
      </c>
      <c r="BM39" s="44">
        <f t="shared" si="23"/>
        <v>0</v>
      </c>
      <c r="BN39" s="44">
        <f t="shared" si="23"/>
        <v>0</v>
      </c>
      <c r="BO39" s="44">
        <f t="shared" si="23"/>
        <v>0</v>
      </c>
      <c r="BP39" s="44">
        <f t="shared" si="23"/>
        <v>0</v>
      </c>
      <c r="BQ39" s="44">
        <f t="shared" si="23"/>
        <v>0</v>
      </c>
      <c r="BR39" s="44">
        <f t="shared" si="23"/>
        <v>0</v>
      </c>
      <c r="BS39" s="44">
        <f t="shared" si="23"/>
        <v>0</v>
      </c>
      <c r="BT39" s="44">
        <f t="shared" si="23"/>
        <v>0</v>
      </c>
      <c r="BU39" s="44">
        <f t="shared" si="23"/>
        <v>0</v>
      </c>
      <c r="BV39" s="44">
        <f t="shared" si="23"/>
        <v>0</v>
      </c>
      <c r="BW39" s="44">
        <f t="shared" si="23"/>
        <v>0</v>
      </c>
      <c r="BX39" s="44">
        <f t="shared" si="24"/>
        <v>0</v>
      </c>
      <c r="BY39" s="44">
        <f t="shared" si="24"/>
        <v>0</v>
      </c>
      <c r="BZ39" s="44">
        <f t="shared" si="24"/>
        <v>0</v>
      </c>
      <c r="CA39" s="44">
        <f t="shared" si="24"/>
        <v>0</v>
      </c>
      <c r="CB39" s="44">
        <f t="shared" si="24"/>
        <v>0</v>
      </c>
      <c r="CC39" s="44">
        <f t="shared" si="24"/>
        <v>0</v>
      </c>
      <c r="CD39" s="44">
        <f t="shared" si="24"/>
        <v>0</v>
      </c>
      <c r="CE39" s="46">
        <f t="shared" si="6"/>
        <v>0.99741359509717187</v>
      </c>
      <c r="CF39" s="44">
        <f t="shared" si="25"/>
        <v>70700000</v>
      </c>
      <c r="CG39" s="44"/>
      <c r="CH39" s="44">
        <f>+'[4]Acuerdo PLAN INVERSIÓN 2021'!$H$1015+'[4]Acuerdo PLAN INVERSIÓN 2021'!$H$1024</f>
        <v>30000000</v>
      </c>
      <c r="CI39" s="44"/>
      <c r="CJ39" s="44"/>
      <c r="CK39" s="44"/>
      <c r="CL39" s="44"/>
      <c r="CM39" s="44"/>
      <c r="CN39" s="44">
        <f>+'[6]Acuerdo PLAN INVERSIÓN 2021'!$H$2062+'[6]Acuerdo PLAN INVERSIÓN 2021'!$H$2065+'[6]Acuerdo PLAN INVERSIÓN 2021'!$H$2071+'[6]Acuerdo PLAN INVERSIÓN 2021'!$H$2074+'[5]Acuerdo PLAN INVERSIÓN 2021'!$H$2554</f>
        <v>40700000</v>
      </c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6">
        <f t="shared" si="8"/>
        <v>2.5864049028281322E-3</v>
      </c>
      <c r="DE39" s="44">
        <f t="shared" si="26"/>
        <v>183333</v>
      </c>
      <c r="DF39" s="44">
        <f t="shared" si="27"/>
        <v>0</v>
      </c>
      <c r="DG39" s="44">
        <f t="shared" si="27"/>
        <v>0</v>
      </c>
      <c r="DH39" s="44">
        <f t="shared" si="27"/>
        <v>0</v>
      </c>
      <c r="DI39" s="44">
        <f t="shared" si="27"/>
        <v>0</v>
      </c>
      <c r="DJ39" s="44">
        <f t="shared" si="27"/>
        <v>0</v>
      </c>
      <c r="DK39" s="44">
        <f t="shared" si="27"/>
        <v>0</v>
      </c>
      <c r="DL39" s="44">
        <f t="shared" si="27"/>
        <v>0</v>
      </c>
      <c r="DM39" s="44">
        <f t="shared" si="27"/>
        <v>183333</v>
      </c>
      <c r="DN39" s="44">
        <f t="shared" si="27"/>
        <v>0</v>
      </c>
      <c r="DO39" s="44">
        <f t="shared" si="27"/>
        <v>0</v>
      </c>
      <c r="DP39" s="44">
        <f t="shared" si="27"/>
        <v>0</v>
      </c>
      <c r="DQ39" s="44">
        <f t="shared" si="27"/>
        <v>0</v>
      </c>
      <c r="DR39" s="44">
        <f t="shared" si="27"/>
        <v>0</v>
      </c>
      <c r="DS39" s="44">
        <f t="shared" si="27"/>
        <v>0</v>
      </c>
      <c r="DT39" s="44">
        <f t="shared" si="27"/>
        <v>0</v>
      </c>
      <c r="DU39" s="44">
        <f t="shared" si="27"/>
        <v>0</v>
      </c>
      <c r="DV39" s="44">
        <f t="shared" si="28"/>
        <v>0</v>
      </c>
      <c r="DW39" s="44">
        <f t="shared" si="28"/>
        <v>0</v>
      </c>
      <c r="DX39" s="44">
        <f t="shared" si="28"/>
        <v>0</v>
      </c>
      <c r="DY39" s="44">
        <f t="shared" si="28"/>
        <v>0</v>
      </c>
      <c r="DZ39" s="44">
        <f t="shared" si="28"/>
        <v>0</v>
      </c>
      <c r="EA39" s="44">
        <f t="shared" si="28"/>
        <v>0</v>
      </c>
      <c r="EB39" s="44">
        <f t="shared" si="28"/>
        <v>0</v>
      </c>
      <c r="EE39" s="75">
        <f t="shared" si="29"/>
        <v>70883333</v>
      </c>
      <c r="EF39" s="75">
        <f t="shared" si="30"/>
        <v>70700000</v>
      </c>
    </row>
    <row r="40" spans="1:136" ht="27.75" hidden="1" customHeight="1" x14ac:dyDescent="0.25">
      <c r="A40" s="50"/>
      <c r="B40" s="84"/>
      <c r="C40" s="40" t="s">
        <v>141</v>
      </c>
      <c r="D40" s="54" t="s">
        <v>142</v>
      </c>
      <c r="E40" s="42">
        <v>410</v>
      </c>
      <c r="F40" s="56" t="s">
        <v>143</v>
      </c>
      <c r="G40" s="44">
        <f t="shared" si="20"/>
        <v>146000000</v>
      </c>
      <c r="H40" s="45">
        <v>122400000</v>
      </c>
      <c r="I40" s="45">
        <f t="shared" si="31"/>
        <v>-23600000</v>
      </c>
      <c r="J40" s="44"/>
      <c r="K40" s="44"/>
      <c r="L40" s="44"/>
      <c r="M40" s="44"/>
      <c r="N40" s="44"/>
      <c r="O40" s="44"/>
      <c r="P40" s="44"/>
      <c r="Q40" s="44">
        <f>50000000+90000000</f>
        <v>140000000</v>
      </c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>
        <f>3000000+2000000+7000000-6000000</f>
        <v>6000000</v>
      </c>
      <c r="AG40" s="46">
        <f t="shared" si="1"/>
        <v>0.59733107534246577</v>
      </c>
      <c r="AH40" s="44">
        <f t="shared" si="21"/>
        <v>87210337</v>
      </c>
      <c r="AI40" s="44"/>
      <c r="AJ40" s="44"/>
      <c r="AK40" s="44"/>
      <c r="AL40" s="44"/>
      <c r="AM40" s="44"/>
      <c r="AN40" s="44"/>
      <c r="AO40" s="44"/>
      <c r="AP40" s="44">
        <f>+'[5]Acuerdo PLAN INVERSIÓN 2021'!$S$2558</f>
        <v>81210337</v>
      </c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>
        <f>+'[5]Acuerdo PLAN INVERSIÓN 2021'!$AF$2558</f>
        <v>6000000</v>
      </c>
      <c r="BF40" s="46">
        <f t="shared" si="12"/>
        <v>0.40266892465753423</v>
      </c>
      <c r="BG40" s="44">
        <f t="shared" si="22"/>
        <v>58789663</v>
      </c>
      <c r="BH40" s="44">
        <f t="shared" si="23"/>
        <v>0</v>
      </c>
      <c r="BI40" s="44">
        <f t="shared" si="23"/>
        <v>0</v>
      </c>
      <c r="BJ40" s="44">
        <f t="shared" si="23"/>
        <v>0</v>
      </c>
      <c r="BK40" s="44">
        <f t="shared" si="23"/>
        <v>0</v>
      </c>
      <c r="BL40" s="44">
        <f t="shared" si="23"/>
        <v>0</v>
      </c>
      <c r="BM40" s="44">
        <f t="shared" si="23"/>
        <v>0</v>
      </c>
      <c r="BN40" s="44">
        <f t="shared" si="23"/>
        <v>0</v>
      </c>
      <c r="BO40" s="44">
        <f t="shared" si="23"/>
        <v>58789663</v>
      </c>
      <c r="BP40" s="44">
        <f t="shared" si="23"/>
        <v>0</v>
      </c>
      <c r="BQ40" s="44">
        <f t="shared" si="23"/>
        <v>0</v>
      </c>
      <c r="BR40" s="44">
        <f t="shared" si="23"/>
        <v>0</v>
      </c>
      <c r="BS40" s="44">
        <f t="shared" si="23"/>
        <v>0</v>
      </c>
      <c r="BT40" s="44">
        <f t="shared" si="23"/>
        <v>0</v>
      </c>
      <c r="BU40" s="44">
        <f t="shared" si="23"/>
        <v>0</v>
      </c>
      <c r="BV40" s="44">
        <f t="shared" si="23"/>
        <v>0</v>
      </c>
      <c r="BW40" s="44">
        <f t="shared" ref="BW40:BW49" si="32">+Y40-AX40</f>
        <v>0</v>
      </c>
      <c r="BX40" s="44">
        <f t="shared" si="24"/>
        <v>0</v>
      </c>
      <c r="BY40" s="44">
        <f t="shared" si="24"/>
        <v>0</v>
      </c>
      <c r="BZ40" s="44">
        <f t="shared" si="24"/>
        <v>0</v>
      </c>
      <c r="CA40" s="44">
        <f t="shared" si="24"/>
        <v>0</v>
      </c>
      <c r="CB40" s="44">
        <f t="shared" si="24"/>
        <v>0</v>
      </c>
      <c r="CC40" s="44">
        <f t="shared" si="24"/>
        <v>0</v>
      </c>
      <c r="CD40" s="44">
        <f t="shared" si="24"/>
        <v>0</v>
      </c>
      <c r="CE40" s="46">
        <f t="shared" si="6"/>
        <v>0.42719292465753422</v>
      </c>
      <c r="CF40" s="44">
        <f t="shared" si="25"/>
        <v>62370167</v>
      </c>
      <c r="CG40" s="44"/>
      <c r="CH40" s="44"/>
      <c r="CI40" s="44"/>
      <c r="CJ40" s="44"/>
      <c r="CK40" s="44"/>
      <c r="CL40" s="44"/>
      <c r="CM40" s="44"/>
      <c r="CN40" s="44">
        <f>+'[6]Acuerdo PLAN INVERSIÓN 2021'!$H$2080+'[6]Acuerdo PLAN INVERSIÓN 2021'!$H$2087+'[6]Acuerdo PLAN INVERSIÓN 2021'!$H$2099</f>
        <v>61370167</v>
      </c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>
        <f>+'[6]Acuerdo PLAN INVERSIÓN 2021'!$H$2096</f>
        <v>1000000</v>
      </c>
      <c r="DD40" s="46">
        <f t="shared" si="8"/>
        <v>0.57280707534246578</v>
      </c>
      <c r="DE40" s="44">
        <f t="shared" si="26"/>
        <v>83629833</v>
      </c>
      <c r="DF40" s="44">
        <f t="shared" si="27"/>
        <v>0</v>
      </c>
      <c r="DG40" s="44">
        <f t="shared" si="27"/>
        <v>0</v>
      </c>
      <c r="DH40" s="44">
        <f t="shared" si="27"/>
        <v>0</v>
      </c>
      <c r="DI40" s="44">
        <f t="shared" si="27"/>
        <v>0</v>
      </c>
      <c r="DJ40" s="44">
        <f t="shared" si="27"/>
        <v>0</v>
      </c>
      <c r="DK40" s="44">
        <f t="shared" si="27"/>
        <v>0</v>
      </c>
      <c r="DL40" s="44">
        <f t="shared" si="27"/>
        <v>0</v>
      </c>
      <c r="DM40" s="44">
        <f t="shared" si="27"/>
        <v>78629833</v>
      </c>
      <c r="DN40" s="44">
        <f t="shared" si="27"/>
        <v>0</v>
      </c>
      <c r="DO40" s="44">
        <f t="shared" si="27"/>
        <v>0</v>
      </c>
      <c r="DP40" s="44">
        <f t="shared" si="27"/>
        <v>0</v>
      </c>
      <c r="DQ40" s="44">
        <f t="shared" si="27"/>
        <v>0</v>
      </c>
      <c r="DR40" s="44">
        <f t="shared" si="27"/>
        <v>0</v>
      </c>
      <c r="DS40" s="44">
        <f t="shared" si="27"/>
        <v>0</v>
      </c>
      <c r="DT40" s="44">
        <f t="shared" si="27"/>
        <v>0</v>
      </c>
      <c r="DU40" s="44">
        <f t="shared" ref="DU40:DU49" si="33">+Y40-CV40</f>
        <v>0</v>
      </c>
      <c r="DV40" s="44">
        <f t="shared" si="28"/>
        <v>0</v>
      </c>
      <c r="DW40" s="44">
        <f t="shared" si="28"/>
        <v>0</v>
      </c>
      <c r="DX40" s="44">
        <f t="shared" si="28"/>
        <v>0</v>
      </c>
      <c r="DY40" s="44">
        <f t="shared" si="28"/>
        <v>0</v>
      </c>
      <c r="DZ40" s="44">
        <f t="shared" si="28"/>
        <v>0</v>
      </c>
      <c r="EA40" s="44">
        <f t="shared" si="28"/>
        <v>0</v>
      </c>
      <c r="EB40" s="44">
        <f t="shared" si="28"/>
        <v>5000000</v>
      </c>
      <c r="EE40" s="75">
        <f t="shared" si="29"/>
        <v>146000000</v>
      </c>
      <c r="EF40" s="75">
        <f t="shared" si="30"/>
        <v>62370167</v>
      </c>
    </row>
    <row r="41" spans="1:136" ht="31.5" hidden="1" customHeight="1" x14ac:dyDescent="0.25">
      <c r="A41" s="50"/>
      <c r="B41" s="84"/>
      <c r="C41" s="40" t="s">
        <v>144</v>
      </c>
      <c r="D41" s="54" t="s">
        <v>145</v>
      </c>
      <c r="E41" s="42">
        <v>410</v>
      </c>
      <c r="F41" s="56" t="s">
        <v>102</v>
      </c>
      <c r="G41" s="44">
        <f t="shared" si="20"/>
        <v>50000000</v>
      </c>
      <c r="H41" s="45">
        <v>62000000</v>
      </c>
      <c r="I41" s="45">
        <f t="shared" si="31"/>
        <v>12000000</v>
      </c>
      <c r="J41" s="44"/>
      <c r="K41" s="44"/>
      <c r="L41" s="44"/>
      <c r="M41" s="44"/>
      <c r="N41" s="44"/>
      <c r="O41" s="44"/>
      <c r="P41" s="44"/>
      <c r="Q41" s="44">
        <v>15000000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>
        <v>35000000</v>
      </c>
      <c r="AC41" s="44"/>
      <c r="AD41" s="44"/>
      <c r="AE41" s="44"/>
      <c r="AF41" s="44"/>
      <c r="AG41" s="46">
        <f t="shared" si="1"/>
        <v>0.38433334000000002</v>
      </c>
      <c r="AH41" s="44">
        <f t="shared" si="21"/>
        <v>19216667</v>
      </c>
      <c r="AI41" s="44"/>
      <c r="AJ41" s="44"/>
      <c r="AK41" s="44"/>
      <c r="AL41" s="44"/>
      <c r="AM41" s="44"/>
      <c r="AN41" s="44"/>
      <c r="AO41" s="44"/>
      <c r="AP41" s="44">
        <f>+'[10]Acuerdo PLAN INVERSIÓN 2021'!$R$275</f>
        <v>9216667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>
        <f>+'[1]Acuerdo PLAN INVERSIÓN 2021'!$Y$1748</f>
        <v>10000000</v>
      </c>
      <c r="BB41" s="44"/>
      <c r="BC41" s="44"/>
      <c r="BD41" s="44"/>
      <c r="BE41" s="44"/>
      <c r="BF41" s="46">
        <f t="shared" si="12"/>
        <v>0.61566666000000003</v>
      </c>
      <c r="BG41" s="44">
        <f t="shared" si="22"/>
        <v>30783333</v>
      </c>
      <c r="BH41" s="44">
        <f t="shared" ref="BH41:BV49" si="34">+J41-AI41</f>
        <v>0</v>
      </c>
      <c r="BI41" s="44">
        <f t="shared" si="34"/>
        <v>0</v>
      </c>
      <c r="BJ41" s="44">
        <f t="shared" si="34"/>
        <v>0</v>
      </c>
      <c r="BK41" s="44">
        <f t="shared" si="34"/>
        <v>0</v>
      </c>
      <c r="BL41" s="44">
        <f t="shared" si="34"/>
        <v>0</v>
      </c>
      <c r="BM41" s="44">
        <f t="shared" si="34"/>
        <v>0</v>
      </c>
      <c r="BN41" s="44">
        <f t="shared" si="34"/>
        <v>0</v>
      </c>
      <c r="BO41" s="44">
        <f t="shared" si="34"/>
        <v>5783333</v>
      </c>
      <c r="BP41" s="44">
        <f t="shared" si="34"/>
        <v>0</v>
      </c>
      <c r="BQ41" s="44">
        <f t="shared" si="34"/>
        <v>0</v>
      </c>
      <c r="BR41" s="44">
        <f t="shared" si="34"/>
        <v>0</v>
      </c>
      <c r="BS41" s="44">
        <f t="shared" si="34"/>
        <v>0</v>
      </c>
      <c r="BT41" s="44">
        <f t="shared" si="34"/>
        <v>0</v>
      </c>
      <c r="BU41" s="44">
        <f t="shared" si="34"/>
        <v>0</v>
      </c>
      <c r="BV41" s="44">
        <f t="shared" si="34"/>
        <v>0</v>
      </c>
      <c r="BW41" s="44">
        <f t="shared" si="32"/>
        <v>0</v>
      </c>
      <c r="BX41" s="44">
        <f t="shared" si="24"/>
        <v>0</v>
      </c>
      <c r="BY41" s="44">
        <f t="shared" si="24"/>
        <v>0</v>
      </c>
      <c r="BZ41" s="44">
        <f t="shared" si="24"/>
        <v>25000000</v>
      </c>
      <c r="CA41" s="44">
        <f t="shared" si="24"/>
        <v>0</v>
      </c>
      <c r="CB41" s="44">
        <f t="shared" si="24"/>
        <v>0</v>
      </c>
      <c r="CC41" s="44">
        <f t="shared" si="24"/>
        <v>0</v>
      </c>
      <c r="CD41" s="44">
        <f t="shared" si="24"/>
        <v>0</v>
      </c>
      <c r="CE41" s="46">
        <f t="shared" si="6"/>
        <v>0.38433331999999998</v>
      </c>
      <c r="CF41" s="44">
        <f t="shared" si="25"/>
        <v>19216666</v>
      </c>
      <c r="CG41" s="44"/>
      <c r="CH41" s="44"/>
      <c r="CI41" s="44"/>
      <c r="CJ41" s="44"/>
      <c r="CK41" s="44"/>
      <c r="CL41" s="44"/>
      <c r="CM41" s="44"/>
      <c r="CN41" s="44">
        <f>+'[10]Acuerdo PLAN INVERSIÓN 2021'!$H$273</f>
        <v>9216667</v>
      </c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>
        <f>+'[6]Acuerdo PLAN INVERSIÓN 2021'!$H$2108</f>
        <v>9999999</v>
      </c>
      <c r="CZ41" s="44"/>
      <c r="DA41" s="44"/>
      <c r="DB41" s="44"/>
      <c r="DC41" s="44"/>
      <c r="DD41" s="46">
        <f t="shared" si="8"/>
        <v>0.61566668000000002</v>
      </c>
      <c r="DE41" s="44">
        <f t="shared" si="26"/>
        <v>30783334</v>
      </c>
      <c r="DF41" s="44">
        <f t="shared" ref="DF41:DT49" si="35">+J41-CG41</f>
        <v>0</v>
      </c>
      <c r="DG41" s="44">
        <f t="shared" si="35"/>
        <v>0</v>
      </c>
      <c r="DH41" s="44">
        <f t="shared" si="35"/>
        <v>0</v>
      </c>
      <c r="DI41" s="44">
        <f t="shared" si="35"/>
        <v>0</v>
      </c>
      <c r="DJ41" s="44">
        <f t="shared" si="35"/>
        <v>0</v>
      </c>
      <c r="DK41" s="44">
        <f t="shared" si="35"/>
        <v>0</v>
      </c>
      <c r="DL41" s="44">
        <f t="shared" si="35"/>
        <v>0</v>
      </c>
      <c r="DM41" s="44">
        <f t="shared" si="35"/>
        <v>5783333</v>
      </c>
      <c r="DN41" s="44">
        <f t="shared" si="35"/>
        <v>0</v>
      </c>
      <c r="DO41" s="44">
        <f t="shared" si="35"/>
        <v>0</v>
      </c>
      <c r="DP41" s="44">
        <f t="shared" si="35"/>
        <v>0</v>
      </c>
      <c r="DQ41" s="44">
        <f t="shared" si="35"/>
        <v>0</v>
      </c>
      <c r="DR41" s="44">
        <f t="shared" si="35"/>
        <v>0</v>
      </c>
      <c r="DS41" s="44">
        <f t="shared" si="35"/>
        <v>0</v>
      </c>
      <c r="DT41" s="44">
        <f t="shared" si="35"/>
        <v>0</v>
      </c>
      <c r="DU41" s="44">
        <f t="shared" si="33"/>
        <v>0</v>
      </c>
      <c r="DV41" s="44">
        <f t="shared" si="28"/>
        <v>0</v>
      </c>
      <c r="DW41" s="44">
        <f t="shared" si="28"/>
        <v>0</v>
      </c>
      <c r="DX41" s="44">
        <f t="shared" si="28"/>
        <v>25000001</v>
      </c>
      <c r="DY41" s="44">
        <f t="shared" si="28"/>
        <v>0</v>
      </c>
      <c r="DZ41" s="44">
        <f t="shared" si="28"/>
        <v>0</v>
      </c>
      <c r="EA41" s="44">
        <f t="shared" si="28"/>
        <v>0</v>
      </c>
      <c r="EB41" s="44">
        <f t="shared" si="28"/>
        <v>0</v>
      </c>
      <c r="EE41" s="75">
        <f t="shared" si="29"/>
        <v>50000000</v>
      </c>
      <c r="EF41" s="75">
        <f t="shared" si="30"/>
        <v>19216666</v>
      </c>
    </row>
    <row r="42" spans="1:136" ht="21.75" hidden="1" customHeight="1" x14ac:dyDescent="0.25">
      <c r="A42" s="50"/>
      <c r="B42" s="84"/>
      <c r="C42" s="40" t="s">
        <v>146</v>
      </c>
      <c r="D42" s="54" t="s">
        <v>147</v>
      </c>
      <c r="E42" s="42">
        <v>410</v>
      </c>
      <c r="F42" s="56" t="s">
        <v>102</v>
      </c>
      <c r="G42" s="44">
        <f t="shared" si="20"/>
        <v>397484326</v>
      </c>
      <c r="H42" s="45">
        <v>324000000</v>
      </c>
      <c r="I42" s="45">
        <f t="shared" si="31"/>
        <v>-73484326</v>
      </c>
      <c r="J42" s="44"/>
      <c r="K42" s="44"/>
      <c r="L42" s="44"/>
      <c r="M42" s="44"/>
      <c r="N42" s="44"/>
      <c r="O42" s="44"/>
      <c r="P42" s="44"/>
      <c r="Q42" s="44">
        <f>135000000+16000000</f>
        <v>151000000</v>
      </c>
      <c r="R42" s="44"/>
      <c r="S42" s="44"/>
      <c r="T42" s="44"/>
      <c r="U42" s="44"/>
      <c r="V42" s="44"/>
      <c r="W42" s="44"/>
      <c r="X42" s="44"/>
      <c r="Y42" s="44"/>
      <c r="Z42" s="44"/>
      <c r="AA42" s="44">
        <f>266484326-20000000</f>
        <v>246484326</v>
      </c>
      <c r="AB42" s="44"/>
      <c r="AC42" s="44"/>
      <c r="AD42" s="44"/>
      <c r="AE42" s="44"/>
      <c r="AF42" s="44"/>
      <c r="AG42" s="46">
        <f t="shared" si="1"/>
        <v>0.87208155724862468</v>
      </c>
      <c r="AH42" s="44">
        <f t="shared" si="21"/>
        <v>346638750</v>
      </c>
      <c r="AI42" s="44"/>
      <c r="AJ42" s="44"/>
      <c r="AK42" s="44"/>
      <c r="AL42" s="44"/>
      <c r="AM42" s="44"/>
      <c r="AN42" s="44"/>
      <c r="AO42" s="44"/>
      <c r="AP42" s="44">
        <f>+'[1]Acuerdo PLAN INVERSIÓN 2021'!$S$1756</f>
        <v>151000000</v>
      </c>
      <c r="AQ42" s="44"/>
      <c r="AR42" s="44"/>
      <c r="AS42" s="44"/>
      <c r="AT42" s="44"/>
      <c r="AU42" s="44"/>
      <c r="AV42" s="44"/>
      <c r="AW42" s="44"/>
      <c r="AX42" s="44"/>
      <c r="AY42" s="44"/>
      <c r="AZ42" s="44">
        <f>+'[6]Acuerdo PLAN INVERSIÓN 2021'!$X$2113</f>
        <v>195638750</v>
      </c>
      <c r="BA42" s="44"/>
      <c r="BB42" s="44"/>
      <c r="BC42" s="44"/>
      <c r="BD42" s="44"/>
      <c r="BE42" s="44"/>
      <c r="BF42" s="46">
        <f t="shared" si="12"/>
        <v>0.12791844275137532</v>
      </c>
      <c r="BG42" s="44">
        <f t="shared" si="22"/>
        <v>50845576</v>
      </c>
      <c r="BH42" s="44">
        <f t="shared" si="34"/>
        <v>0</v>
      </c>
      <c r="BI42" s="44">
        <f t="shared" si="34"/>
        <v>0</v>
      </c>
      <c r="BJ42" s="44">
        <f t="shared" si="34"/>
        <v>0</v>
      </c>
      <c r="BK42" s="44">
        <f t="shared" si="34"/>
        <v>0</v>
      </c>
      <c r="BL42" s="44">
        <f t="shared" si="34"/>
        <v>0</v>
      </c>
      <c r="BM42" s="44">
        <f t="shared" si="34"/>
        <v>0</v>
      </c>
      <c r="BN42" s="44">
        <f t="shared" si="34"/>
        <v>0</v>
      </c>
      <c r="BO42" s="44">
        <f t="shared" si="34"/>
        <v>0</v>
      </c>
      <c r="BP42" s="44">
        <f t="shared" si="34"/>
        <v>0</v>
      </c>
      <c r="BQ42" s="44">
        <f t="shared" si="34"/>
        <v>0</v>
      </c>
      <c r="BR42" s="44">
        <f t="shared" si="34"/>
        <v>0</v>
      </c>
      <c r="BS42" s="44">
        <f t="shared" si="34"/>
        <v>0</v>
      </c>
      <c r="BT42" s="44">
        <f t="shared" si="34"/>
        <v>0</v>
      </c>
      <c r="BU42" s="44">
        <f t="shared" si="34"/>
        <v>0</v>
      </c>
      <c r="BV42" s="44">
        <f t="shared" si="34"/>
        <v>0</v>
      </c>
      <c r="BW42" s="44">
        <f t="shared" si="32"/>
        <v>0</v>
      </c>
      <c r="BX42" s="44">
        <f t="shared" si="24"/>
        <v>0</v>
      </c>
      <c r="BY42" s="44">
        <f t="shared" si="24"/>
        <v>50845576</v>
      </c>
      <c r="BZ42" s="44">
        <f t="shared" si="24"/>
        <v>0</v>
      </c>
      <c r="CA42" s="44">
        <f t="shared" si="24"/>
        <v>0</v>
      </c>
      <c r="CB42" s="44">
        <f t="shared" si="24"/>
        <v>0</v>
      </c>
      <c r="CC42" s="44">
        <f t="shared" si="24"/>
        <v>0</v>
      </c>
      <c r="CD42" s="44">
        <f t="shared" si="24"/>
        <v>0</v>
      </c>
      <c r="CE42" s="46">
        <f t="shared" si="6"/>
        <v>0.7953624490843445</v>
      </c>
      <c r="CF42" s="44">
        <f t="shared" si="25"/>
        <v>316144107</v>
      </c>
      <c r="CG42" s="44"/>
      <c r="CH42" s="44"/>
      <c r="CI42" s="44"/>
      <c r="CJ42" s="44"/>
      <c r="CK42" s="44"/>
      <c r="CL42" s="44"/>
      <c r="CM42" s="44"/>
      <c r="CN42" s="44">
        <f>+'[5]Acuerdo PLAN INVERSIÓN 2021'!$H$2597+'[5]Acuerdo PLAN INVERSIÓN 2021'!$H$2600+'[5]Acuerdo PLAN INVERSIÓN 2021'!$H$2604+'[5]Acuerdo PLAN INVERSIÓN 2021'!$H$2607+'[5]Acuerdo PLAN INVERSIÓN 2021'!$H$2611+'[5]Acuerdo PLAN INVERSIÓN 2021'!$H$2614+'[5]Acuerdo PLAN INVERSIÓN 2021'!$H$2619+'[5]Acuerdo PLAN INVERSIÓN 2021'!$H$2622+'[5]Acuerdo PLAN INVERSIÓN 2021'!$H$2653</f>
        <v>146825695</v>
      </c>
      <c r="CO42" s="44"/>
      <c r="CP42" s="44"/>
      <c r="CQ42" s="44"/>
      <c r="CR42" s="44"/>
      <c r="CS42" s="44"/>
      <c r="CT42" s="44"/>
      <c r="CU42" s="44"/>
      <c r="CV42" s="44"/>
      <c r="CW42" s="44"/>
      <c r="CX42" s="44">
        <f>+'[5]Acuerdo PLAN INVERSIÓN 2021'!$H$2594-CN42</f>
        <v>169318412</v>
      </c>
      <c r="CY42" s="44"/>
      <c r="CZ42" s="44"/>
      <c r="DA42" s="44"/>
      <c r="DB42" s="44"/>
      <c r="DC42" s="44"/>
      <c r="DD42" s="46">
        <f t="shared" si="8"/>
        <v>0.2046375509156555</v>
      </c>
      <c r="DE42" s="44">
        <f t="shared" si="26"/>
        <v>81340219</v>
      </c>
      <c r="DF42" s="44">
        <f t="shared" si="35"/>
        <v>0</v>
      </c>
      <c r="DG42" s="44">
        <f t="shared" si="35"/>
        <v>0</v>
      </c>
      <c r="DH42" s="44">
        <f t="shared" si="35"/>
        <v>0</v>
      </c>
      <c r="DI42" s="44">
        <f t="shared" si="35"/>
        <v>0</v>
      </c>
      <c r="DJ42" s="44">
        <f t="shared" si="35"/>
        <v>0</v>
      </c>
      <c r="DK42" s="44">
        <f t="shared" si="35"/>
        <v>0</v>
      </c>
      <c r="DL42" s="44">
        <f t="shared" si="35"/>
        <v>0</v>
      </c>
      <c r="DM42" s="44">
        <f t="shared" si="35"/>
        <v>4174305</v>
      </c>
      <c r="DN42" s="44">
        <f t="shared" si="35"/>
        <v>0</v>
      </c>
      <c r="DO42" s="44">
        <f t="shared" si="35"/>
        <v>0</v>
      </c>
      <c r="DP42" s="44">
        <f t="shared" si="35"/>
        <v>0</v>
      </c>
      <c r="DQ42" s="44">
        <f t="shared" si="35"/>
        <v>0</v>
      </c>
      <c r="DR42" s="44">
        <f t="shared" si="35"/>
        <v>0</v>
      </c>
      <c r="DS42" s="44">
        <f t="shared" si="35"/>
        <v>0</v>
      </c>
      <c r="DT42" s="44">
        <f t="shared" si="35"/>
        <v>0</v>
      </c>
      <c r="DU42" s="44">
        <f t="shared" si="33"/>
        <v>0</v>
      </c>
      <c r="DV42" s="44">
        <f t="shared" si="28"/>
        <v>0</v>
      </c>
      <c r="DW42" s="44">
        <f t="shared" si="28"/>
        <v>77165914</v>
      </c>
      <c r="DX42" s="44">
        <f t="shared" si="28"/>
        <v>0</v>
      </c>
      <c r="DY42" s="44">
        <f t="shared" si="28"/>
        <v>0</v>
      </c>
      <c r="DZ42" s="44">
        <f t="shared" si="28"/>
        <v>0</v>
      </c>
      <c r="EA42" s="44">
        <f t="shared" si="28"/>
        <v>0</v>
      </c>
      <c r="EB42" s="44">
        <f t="shared" si="28"/>
        <v>0</v>
      </c>
      <c r="EE42" s="75">
        <f t="shared" si="29"/>
        <v>397484326</v>
      </c>
      <c r="EF42" s="75">
        <f t="shared" si="30"/>
        <v>316144107</v>
      </c>
    </row>
    <row r="43" spans="1:136" ht="21" hidden="1" customHeight="1" x14ac:dyDescent="0.25">
      <c r="A43" s="50"/>
      <c r="B43" s="84"/>
      <c r="C43" s="40" t="s">
        <v>148</v>
      </c>
      <c r="D43" s="54" t="s">
        <v>149</v>
      </c>
      <c r="E43" s="42">
        <v>410</v>
      </c>
      <c r="F43" s="56" t="s">
        <v>150</v>
      </c>
      <c r="G43" s="44">
        <f t="shared" si="20"/>
        <v>700996742</v>
      </c>
      <c r="H43" s="45">
        <v>800000000</v>
      </c>
      <c r="I43" s="45">
        <f t="shared" si="31"/>
        <v>99003258</v>
      </c>
      <c r="J43" s="44"/>
      <c r="K43" s="44">
        <v>100000000</v>
      </c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>
        <v>110000000</v>
      </c>
      <c r="AB43" s="44"/>
      <c r="AC43" s="44"/>
      <c r="AD43" s="44">
        <f>23477088+125613658+7274332+7900227+86506451+49870081+143707904+31647001</f>
        <v>475996742</v>
      </c>
      <c r="AE43" s="44"/>
      <c r="AF43" s="44">
        <f>15000000+10000000-10000000</f>
        <v>15000000</v>
      </c>
      <c r="AG43" s="46">
        <f t="shared" si="1"/>
        <v>0.9293647330532101</v>
      </c>
      <c r="AH43" s="44">
        <f t="shared" si="21"/>
        <v>651481650</v>
      </c>
      <c r="AI43" s="44"/>
      <c r="AJ43" s="44">
        <f>+'[6]Acuerdo PLAN INVERSIÓN 2021'!$J$2182</f>
        <v>92101241</v>
      </c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>
        <f>+'[2]Acuerdo PLAN INVERSIÓN 2021'!$X$1507</f>
        <v>76613000</v>
      </c>
      <c r="BA43" s="44"/>
      <c r="BB43" s="44"/>
      <c r="BC43" s="44">
        <f>+'[5]Acuerdo PLAN INVERSIÓN 2021'!$AC$2669</f>
        <v>467767409</v>
      </c>
      <c r="BD43" s="44"/>
      <c r="BE43" s="44">
        <f>+'[4]Acuerdo PLAN INVERSIÓN 2021'!$AF$1109</f>
        <v>15000000</v>
      </c>
      <c r="BF43" s="46">
        <f t="shared" si="12"/>
        <v>7.0635266946789899E-2</v>
      </c>
      <c r="BG43" s="44">
        <f t="shared" si="22"/>
        <v>49515092</v>
      </c>
      <c r="BH43" s="44">
        <f t="shared" si="34"/>
        <v>0</v>
      </c>
      <c r="BI43" s="44">
        <f t="shared" si="34"/>
        <v>7898759</v>
      </c>
      <c r="BJ43" s="44">
        <f t="shared" si="34"/>
        <v>0</v>
      </c>
      <c r="BK43" s="44">
        <f t="shared" si="34"/>
        <v>0</v>
      </c>
      <c r="BL43" s="44">
        <f t="shared" si="34"/>
        <v>0</v>
      </c>
      <c r="BM43" s="44">
        <f t="shared" si="34"/>
        <v>0</v>
      </c>
      <c r="BN43" s="44">
        <f t="shared" si="34"/>
        <v>0</v>
      </c>
      <c r="BO43" s="44">
        <f t="shared" si="34"/>
        <v>0</v>
      </c>
      <c r="BP43" s="44">
        <f t="shared" si="34"/>
        <v>0</v>
      </c>
      <c r="BQ43" s="44">
        <f t="shared" si="34"/>
        <v>0</v>
      </c>
      <c r="BR43" s="44">
        <f t="shared" si="34"/>
        <v>0</v>
      </c>
      <c r="BS43" s="44">
        <f t="shared" si="34"/>
        <v>0</v>
      </c>
      <c r="BT43" s="44">
        <f t="shared" si="34"/>
        <v>0</v>
      </c>
      <c r="BU43" s="44">
        <f t="shared" si="34"/>
        <v>0</v>
      </c>
      <c r="BV43" s="44">
        <f t="shared" si="34"/>
        <v>0</v>
      </c>
      <c r="BW43" s="44">
        <f t="shared" si="32"/>
        <v>0</v>
      </c>
      <c r="BX43" s="44">
        <f t="shared" si="24"/>
        <v>0</v>
      </c>
      <c r="BY43" s="44">
        <f t="shared" si="24"/>
        <v>33387000</v>
      </c>
      <c r="BZ43" s="44">
        <f t="shared" si="24"/>
        <v>0</v>
      </c>
      <c r="CA43" s="44">
        <f t="shared" si="24"/>
        <v>0</v>
      </c>
      <c r="CB43" s="44">
        <f t="shared" si="24"/>
        <v>8229333</v>
      </c>
      <c r="CC43" s="44">
        <f t="shared" si="24"/>
        <v>0</v>
      </c>
      <c r="CD43" s="44">
        <f t="shared" si="24"/>
        <v>0</v>
      </c>
      <c r="CE43" s="46">
        <f t="shared" si="6"/>
        <v>0.66903981702100412</v>
      </c>
      <c r="CF43" s="44">
        <f t="shared" si="25"/>
        <v>468994732</v>
      </c>
      <c r="CG43" s="44"/>
      <c r="CH43" s="44">
        <f>+'[5]Acuerdo PLAN INVERSIÓN 2021'!$H$2674+'[5]Acuerdo PLAN INVERSIÓN 2021'!$H$2719+'[5]Acuerdo PLAN INVERSIÓN 2021'!$H$2724+'[5]Acuerdo PLAN INVERSIÓN 2021'!$H$2730+'[5]Acuerdo PLAN INVERSIÓN 2021'!$H$2736+'[5]Acuerdo PLAN INVERSIÓN 2021'!$H$2831+'[5]Acuerdo PLAN INVERSIÓN 2021'!$H$2840</f>
        <v>77540269</v>
      </c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>
        <f>+'[5]Acuerdo PLAN INVERSIÓN 2021'!$H$2749+'[5]Acuerdo PLAN INVERSIÓN 2021'!$H$2756+'[5]Acuerdo PLAN INVERSIÓN 2021'!$H$2764+'[5]Acuerdo PLAN INVERSIÓN 2021'!$H$2768+'[5]Acuerdo PLAN INVERSIÓN 2021'!$H$2777+'[5]Acuerdo PLAN INVERSIÓN 2021'!$H$2780+'[5]Acuerdo PLAN INVERSIÓN 2021'!$H$2820+'[5]Acuerdo PLAN INVERSIÓN 2021'!$H$2824+'[5]Acuerdo PLAN INVERSIÓN 2021'!$H$2852+'[5]Acuerdo PLAN INVERSIÓN 2021'!$H$2876</f>
        <v>64982073</v>
      </c>
      <c r="CY43" s="44"/>
      <c r="CZ43" s="44"/>
      <c r="DA43" s="44">
        <f>+'[5]Acuerdo PLAN INVERSIÓN 2021'!$H$2667-CX43-CH43-DC43</f>
        <v>311472790</v>
      </c>
      <c r="DB43" s="44"/>
      <c r="DC43" s="44">
        <f>+'[1]Acuerdo PLAN INVERSIÓN 2021'!$H$1928</f>
        <v>14999600</v>
      </c>
      <c r="DD43" s="46">
        <f t="shared" si="8"/>
        <v>0.33096018297899588</v>
      </c>
      <c r="DE43" s="44">
        <f t="shared" si="26"/>
        <v>232002010</v>
      </c>
      <c r="DF43" s="44">
        <f t="shared" si="35"/>
        <v>0</v>
      </c>
      <c r="DG43" s="44">
        <f t="shared" si="35"/>
        <v>22459731</v>
      </c>
      <c r="DH43" s="44">
        <f t="shared" si="35"/>
        <v>0</v>
      </c>
      <c r="DI43" s="44">
        <f t="shared" si="35"/>
        <v>0</v>
      </c>
      <c r="DJ43" s="44">
        <f t="shared" si="35"/>
        <v>0</v>
      </c>
      <c r="DK43" s="44">
        <f t="shared" si="35"/>
        <v>0</v>
      </c>
      <c r="DL43" s="44">
        <f t="shared" si="35"/>
        <v>0</v>
      </c>
      <c r="DM43" s="44">
        <f t="shared" si="35"/>
        <v>0</v>
      </c>
      <c r="DN43" s="44">
        <f t="shared" si="35"/>
        <v>0</v>
      </c>
      <c r="DO43" s="44">
        <f t="shared" si="35"/>
        <v>0</v>
      </c>
      <c r="DP43" s="44">
        <f t="shared" si="35"/>
        <v>0</v>
      </c>
      <c r="DQ43" s="44">
        <f t="shared" si="35"/>
        <v>0</v>
      </c>
      <c r="DR43" s="44">
        <f t="shared" si="35"/>
        <v>0</v>
      </c>
      <c r="DS43" s="44">
        <f t="shared" si="35"/>
        <v>0</v>
      </c>
      <c r="DT43" s="44">
        <f t="shared" si="35"/>
        <v>0</v>
      </c>
      <c r="DU43" s="44">
        <f t="shared" si="33"/>
        <v>0</v>
      </c>
      <c r="DV43" s="44">
        <f t="shared" si="28"/>
        <v>0</v>
      </c>
      <c r="DW43" s="44">
        <f t="shared" si="28"/>
        <v>45017927</v>
      </c>
      <c r="DX43" s="44">
        <f t="shared" si="28"/>
        <v>0</v>
      </c>
      <c r="DY43" s="44">
        <f t="shared" si="28"/>
        <v>0</v>
      </c>
      <c r="DZ43" s="44">
        <f t="shared" si="28"/>
        <v>164523952</v>
      </c>
      <c r="EA43" s="44">
        <f t="shared" si="28"/>
        <v>0</v>
      </c>
      <c r="EB43" s="44">
        <f t="shared" si="28"/>
        <v>400</v>
      </c>
      <c r="EE43" s="75">
        <f t="shared" si="29"/>
        <v>700996742</v>
      </c>
      <c r="EF43" s="75">
        <f t="shared" si="30"/>
        <v>468994732</v>
      </c>
    </row>
    <row r="44" spans="1:136" ht="20.25" hidden="1" customHeight="1" x14ac:dyDescent="0.25">
      <c r="A44" s="50"/>
      <c r="B44" s="77" t="s">
        <v>151</v>
      </c>
      <c r="C44" s="40" t="s">
        <v>152</v>
      </c>
      <c r="D44" s="54" t="s">
        <v>153</v>
      </c>
      <c r="E44" s="42">
        <v>410</v>
      </c>
      <c r="F44" s="56" t="s">
        <v>102</v>
      </c>
      <c r="G44" s="44">
        <f t="shared" si="20"/>
        <v>30000000</v>
      </c>
      <c r="H44" s="45">
        <v>56000000</v>
      </c>
      <c r="I44" s="45">
        <f t="shared" si="31"/>
        <v>26000000</v>
      </c>
      <c r="J44" s="44"/>
      <c r="K44" s="44">
        <v>30000000</v>
      </c>
      <c r="L44" s="44"/>
      <c r="M44" s="44"/>
      <c r="N44" s="44"/>
      <c r="O44" s="44"/>
      <c r="P44" s="44"/>
      <c r="Q44" s="44">
        <f>25000000-25000000</f>
        <v>0</v>
      </c>
      <c r="R44" s="44"/>
      <c r="S44" s="44"/>
      <c r="T44" s="44"/>
      <c r="U44" s="44">
        <f>20000000-20000000</f>
        <v>0</v>
      </c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6">
        <f t="shared" si="1"/>
        <v>0.98595923333333335</v>
      </c>
      <c r="AH44" s="44">
        <f t="shared" si="21"/>
        <v>29578777</v>
      </c>
      <c r="AI44" s="44"/>
      <c r="AJ44" s="44">
        <f>+'[6]Acuerdo PLAN INVERSIÓN 2021'!$J$2369</f>
        <v>29578777</v>
      </c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6">
        <f t="shared" si="12"/>
        <v>1.4040766666666649E-2</v>
      </c>
      <c r="BG44" s="44">
        <f t="shared" si="22"/>
        <v>421223</v>
      </c>
      <c r="BH44" s="44">
        <f t="shared" si="34"/>
        <v>0</v>
      </c>
      <c r="BI44" s="44">
        <f t="shared" si="34"/>
        <v>421223</v>
      </c>
      <c r="BJ44" s="44">
        <f t="shared" si="34"/>
        <v>0</v>
      </c>
      <c r="BK44" s="44">
        <f t="shared" si="34"/>
        <v>0</v>
      </c>
      <c r="BL44" s="44">
        <f t="shared" si="34"/>
        <v>0</v>
      </c>
      <c r="BM44" s="44">
        <f t="shared" si="34"/>
        <v>0</v>
      </c>
      <c r="BN44" s="44">
        <f t="shared" si="34"/>
        <v>0</v>
      </c>
      <c r="BO44" s="44">
        <f t="shared" si="34"/>
        <v>0</v>
      </c>
      <c r="BP44" s="44">
        <f t="shared" si="34"/>
        <v>0</v>
      </c>
      <c r="BQ44" s="44">
        <f t="shared" si="34"/>
        <v>0</v>
      </c>
      <c r="BR44" s="44">
        <f t="shared" si="34"/>
        <v>0</v>
      </c>
      <c r="BS44" s="44">
        <f t="shared" si="34"/>
        <v>0</v>
      </c>
      <c r="BT44" s="44">
        <f t="shared" si="34"/>
        <v>0</v>
      </c>
      <c r="BU44" s="44">
        <f t="shared" si="34"/>
        <v>0</v>
      </c>
      <c r="BV44" s="44">
        <f t="shared" si="34"/>
        <v>0</v>
      </c>
      <c r="BW44" s="44">
        <f t="shared" si="32"/>
        <v>0</v>
      </c>
      <c r="BX44" s="44">
        <f t="shared" si="24"/>
        <v>0</v>
      </c>
      <c r="BY44" s="44">
        <f t="shared" si="24"/>
        <v>0</v>
      </c>
      <c r="BZ44" s="44">
        <f t="shared" si="24"/>
        <v>0</v>
      </c>
      <c r="CA44" s="44">
        <f t="shared" si="24"/>
        <v>0</v>
      </c>
      <c r="CB44" s="44">
        <f t="shared" si="24"/>
        <v>0</v>
      </c>
      <c r="CC44" s="44">
        <f t="shared" si="24"/>
        <v>0</v>
      </c>
      <c r="CD44" s="44">
        <f t="shared" si="24"/>
        <v>0</v>
      </c>
      <c r="CE44" s="46">
        <f t="shared" si="6"/>
        <v>0.96874470000000001</v>
      </c>
      <c r="CF44" s="44">
        <f t="shared" si="25"/>
        <v>29062341</v>
      </c>
      <c r="CG44" s="44"/>
      <c r="CH44" s="44">
        <f>+'[6]Acuerdo PLAN INVERSIÓN 2021'!$H$2367+'[5]Acuerdo PLAN INVERSIÓN 2021'!$H$2898</f>
        <v>29062341</v>
      </c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6">
        <f t="shared" si="8"/>
        <v>3.1255299999999986E-2</v>
      </c>
      <c r="DE44" s="44">
        <f t="shared" si="26"/>
        <v>937659</v>
      </c>
      <c r="DF44" s="44">
        <f t="shared" si="35"/>
        <v>0</v>
      </c>
      <c r="DG44" s="44">
        <f t="shared" si="35"/>
        <v>937659</v>
      </c>
      <c r="DH44" s="44">
        <f t="shared" si="35"/>
        <v>0</v>
      </c>
      <c r="DI44" s="44">
        <f t="shared" si="35"/>
        <v>0</v>
      </c>
      <c r="DJ44" s="44">
        <f t="shared" si="35"/>
        <v>0</v>
      </c>
      <c r="DK44" s="44">
        <f t="shared" si="35"/>
        <v>0</v>
      </c>
      <c r="DL44" s="44">
        <f t="shared" si="35"/>
        <v>0</v>
      </c>
      <c r="DM44" s="44">
        <f t="shared" si="35"/>
        <v>0</v>
      </c>
      <c r="DN44" s="44">
        <f t="shared" si="35"/>
        <v>0</v>
      </c>
      <c r="DO44" s="44">
        <f t="shared" si="35"/>
        <v>0</v>
      </c>
      <c r="DP44" s="44">
        <f t="shared" si="35"/>
        <v>0</v>
      </c>
      <c r="DQ44" s="44">
        <f t="shared" si="35"/>
        <v>0</v>
      </c>
      <c r="DR44" s="44">
        <f t="shared" si="35"/>
        <v>0</v>
      </c>
      <c r="DS44" s="44">
        <f t="shared" si="35"/>
        <v>0</v>
      </c>
      <c r="DT44" s="44">
        <f t="shared" si="35"/>
        <v>0</v>
      </c>
      <c r="DU44" s="44">
        <f t="shared" si="33"/>
        <v>0</v>
      </c>
      <c r="DV44" s="44">
        <f t="shared" si="28"/>
        <v>0</v>
      </c>
      <c r="DW44" s="44">
        <f t="shared" si="28"/>
        <v>0</v>
      </c>
      <c r="DX44" s="44">
        <f t="shared" si="28"/>
        <v>0</v>
      </c>
      <c r="DY44" s="44">
        <f t="shared" si="28"/>
        <v>0</v>
      </c>
      <c r="DZ44" s="44">
        <f t="shared" si="28"/>
        <v>0</v>
      </c>
      <c r="EA44" s="44">
        <f t="shared" si="28"/>
        <v>0</v>
      </c>
      <c r="EB44" s="44">
        <f t="shared" si="28"/>
        <v>0</v>
      </c>
      <c r="EE44" s="75">
        <f t="shared" si="29"/>
        <v>30000000</v>
      </c>
      <c r="EF44" s="75">
        <f t="shared" si="30"/>
        <v>29062341</v>
      </c>
    </row>
    <row r="45" spans="1:136" ht="21.75" hidden="1" customHeight="1" x14ac:dyDescent="0.25">
      <c r="A45" s="50"/>
      <c r="B45" s="81"/>
      <c r="C45" s="40" t="s">
        <v>154</v>
      </c>
      <c r="D45" s="54" t="s">
        <v>155</v>
      </c>
      <c r="E45" s="42">
        <v>410</v>
      </c>
      <c r="F45" s="56" t="s">
        <v>102</v>
      </c>
      <c r="G45" s="44">
        <f t="shared" si="20"/>
        <v>30000000</v>
      </c>
      <c r="H45" s="45">
        <v>50000000</v>
      </c>
      <c r="I45" s="45">
        <f t="shared" si="31"/>
        <v>20000000</v>
      </c>
      <c r="J45" s="44"/>
      <c r="K45" s="44">
        <f>20000000-20000000</f>
        <v>0</v>
      </c>
      <c r="L45" s="44"/>
      <c r="M45" s="44"/>
      <c r="N45" s="44"/>
      <c r="O45" s="44"/>
      <c r="P45" s="44"/>
      <c r="Q45" s="44">
        <v>30000000</v>
      </c>
      <c r="R45" s="44"/>
      <c r="S45" s="44"/>
      <c r="T45" s="44"/>
      <c r="U45" s="44">
        <f>38135548-38135548</f>
        <v>0</v>
      </c>
      <c r="V45" s="44"/>
      <c r="W45" s="44"/>
      <c r="X45" s="44"/>
      <c r="Y45" s="44"/>
      <c r="Z45" s="44"/>
      <c r="AA45" s="44"/>
      <c r="AB45" s="87"/>
      <c r="AC45" s="44"/>
      <c r="AD45" s="44"/>
      <c r="AE45" s="44"/>
      <c r="AF45" s="44"/>
      <c r="AG45" s="46">
        <f t="shared" si="1"/>
        <v>0.21666666666666667</v>
      </c>
      <c r="AH45" s="44">
        <f t="shared" si="21"/>
        <v>6500000</v>
      </c>
      <c r="AI45" s="44"/>
      <c r="AJ45" s="44"/>
      <c r="AK45" s="44"/>
      <c r="AL45" s="44"/>
      <c r="AM45" s="44"/>
      <c r="AN45" s="44"/>
      <c r="AO45" s="44"/>
      <c r="AP45" s="44">
        <f>+'[5]Acuerdo PLAN INVERSIÓN 2021'!$S$2903</f>
        <v>6500000</v>
      </c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6">
        <f t="shared" si="12"/>
        <v>0.78333333333333333</v>
      </c>
      <c r="BG45" s="44">
        <f t="shared" si="22"/>
        <v>23500000</v>
      </c>
      <c r="BH45" s="44">
        <f t="shared" si="34"/>
        <v>0</v>
      </c>
      <c r="BI45" s="44">
        <f t="shared" si="34"/>
        <v>0</v>
      </c>
      <c r="BJ45" s="44">
        <f t="shared" si="34"/>
        <v>0</v>
      </c>
      <c r="BK45" s="44">
        <f t="shared" si="34"/>
        <v>0</v>
      </c>
      <c r="BL45" s="44">
        <f t="shared" si="34"/>
        <v>0</v>
      </c>
      <c r="BM45" s="44">
        <f t="shared" si="34"/>
        <v>0</v>
      </c>
      <c r="BN45" s="44">
        <f t="shared" si="34"/>
        <v>0</v>
      </c>
      <c r="BO45" s="44">
        <f t="shared" si="34"/>
        <v>23500000</v>
      </c>
      <c r="BP45" s="44">
        <f t="shared" si="34"/>
        <v>0</v>
      </c>
      <c r="BQ45" s="44">
        <f t="shared" si="34"/>
        <v>0</v>
      </c>
      <c r="BR45" s="44">
        <f t="shared" si="34"/>
        <v>0</v>
      </c>
      <c r="BS45" s="44">
        <f t="shared" si="34"/>
        <v>0</v>
      </c>
      <c r="BT45" s="44">
        <f t="shared" si="34"/>
        <v>0</v>
      </c>
      <c r="BU45" s="44">
        <f t="shared" si="34"/>
        <v>0</v>
      </c>
      <c r="BV45" s="44">
        <f t="shared" si="34"/>
        <v>0</v>
      </c>
      <c r="BW45" s="44">
        <f t="shared" si="32"/>
        <v>0</v>
      </c>
      <c r="BX45" s="44">
        <f t="shared" si="24"/>
        <v>0</v>
      </c>
      <c r="BY45" s="44">
        <f t="shared" si="24"/>
        <v>0</v>
      </c>
      <c r="BZ45" s="44">
        <f t="shared" si="24"/>
        <v>0</v>
      </c>
      <c r="CA45" s="44">
        <f t="shared" si="24"/>
        <v>0</v>
      </c>
      <c r="CB45" s="44">
        <f t="shared" si="24"/>
        <v>0</v>
      </c>
      <c r="CC45" s="44">
        <f t="shared" si="24"/>
        <v>0</v>
      </c>
      <c r="CD45" s="44">
        <f t="shared" si="24"/>
        <v>0</v>
      </c>
      <c r="CE45" s="46">
        <f t="shared" si="6"/>
        <v>9.5779666666666666E-2</v>
      </c>
      <c r="CF45" s="44">
        <f t="shared" si="25"/>
        <v>2873390</v>
      </c>
      <c r="CG45" s="44"/>
      <c r="CH45" s="44"/>
      <c r="CI45" s="44"/>
      <c r="CJ45" s="44"/>
      <c r="CK45" s="44"/>
      <c r="CL45" s="44"/>
      <c r="CM45" s="44"/>
      <c r="CN45" s="44">
        <f>+'[5]Acuerdo PLAN INVERSIÓN 2021'!$H$2901</f>
        <v>2873390</v>
      </c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6">
        <f t="shared" si="8"/>
        <v>0.90422033333333329</v>
      </c>
      <c r="DE45" s="44">
        <f t="shared" si="26"/>
        <v>27126610</v>
      </c>
      <c r="DF45" s="44">
        <f t="shared" si="35"/>
        <v>0</v>
      </c>
      <c r="DG45" s="44">
        <f t="shared" si="35"/>
        <v>0</v>
      </c>
      <c r="DH45" s="44">
        <f t="shared" si="35"/>
        <v>0</v>
      </c>
      <c r="DI45" s="44">
        <f t="shared" si="35"/>
        <v>0</v>
      </c>
      <c r="DJ45" s="44">
        <f t="shared" si="35"/>
        <v>0</v>
      </c>
      <c r="DK45" s="44">
        <f t="shared" si="35"/>
        <v>0</v>
      </c>
      <c r="DL45" s="44">
        <f t="shared" si="35"/>
        <v>0</v>
      </c>
      <c r="DM45" s="44">
        <f t="shared" si="35"/>
        <v>27126610</v>
      </c>
      <c r="DN45" s="44">
        <f t="shared" si="35"/>
        <v>0</v>
      </c>
      <c r="DO45" s="44">
        <f t="shared" si="35"/>
        <v>0</v>
      </c>
      <c r="DP45" s="44">
        <f t="shared" si="35"/>
        <v>0</v>
      </c>
      <c r="DQ45" s="44">
        <f t="shared" si="35"/>
        <v>0</v>
      </c>
      <c r="DR45" s="44">
        <f t="shared" si="35"/>
        <v>0</v>
      </c>
      <c r="DS45" s="44">
        <f t="shared" si="35"/>
        <v>0</v>
      </c>
      <c r="DT45" s="44">
        <f t="shared" si="35"/>
        <v>0</v>
      </c>
      <c r="DU45" s="44">
        <f t="shared" si="33"/>
        <v>0</v>
      </c>
      <c r="DV45" s="44">
        <f t="shared" si="28"/>
        <v>0</v>
      </c>
      <c r="DW45" s="44">
        <f t="shared" si="28"/>
        <v>0</v>
      </c>
      <c r="DX45" s="44">
        <f t="shared" si="28"/>
        <v>0</v>
      </c>
      <c r="DY45" s="44">
        <f t="shared" si="28"/>
        <v>0</v>
      </c>
      <c r="DZ45" s="44">
        <f t="shared" si="28"/>
        <v>0</v>
      </c>
      <c r="EA45" s="44">
        <f t="shared" si="28"/>
        <v>0</v>
      </c>
      <c r="EB45" s="44">
        <f t="shared" si="28"/>
        <v>0</v>
      </c>
      <c r="EE45" s="75">
        <f t="shared" si="29"/>
        <v>30000000</v>
      </c>
      <c r="EF45" s="75">
        <f t="shared" si="30"/>
        <v>2873390</v>
      </c>
    </row>
    <row r="46" spans="1:136" ht="46.9" hidden="1" customHeight="1" x14ac:dyDescent="0.25">
      <c r="A46" s="50"/>
      <c r="B46" s="57" t="s">
        <v>156</v>
      </c>
      <c r="C46" s="40" t="s">
        <v>157</v>
      </c>
      <c r="D46" s="41" t="s">
        <v>158</v>
      </c>
      <c r="E46" s="42">
        <v>410</v>
      </c>
      <c r="F46" s="56" t="s">
        <v>102</v>
      </c>
      <c r="G46" s="44">
        <f t="shared" si="20"/>
        <v>2983654075</v>
      </c>
      <c r="H46" s="45">
        <v>2200000000</v>
      </c>
      <c r="I46" s="45">
        <f t="shared" si="31"/>
        <v>-783654075</v>
      </c>
      <c r="J46" s="44"/>
      <c r="K46" s="44">
        <v>7989917</v>
      </c>
      <c r="L46" s="44"/>
      <c r="M46" s="44"/>
      <c r="N46" s="44"/>
      <c r="O46" s="44"/>
      <c r="P46" s="44"/>
      <c r="Q46" s="44">
        <v>25000000</v>
      </c>
      <c r="R46" s="44"/>
      <c r="S46" s="44"/>
      <c r="T46" s="44"/>
      <c r="U46" s="44"/>
      <c r="V46" s="44"/>
      <c r="W46" s="44"/>
      <c r="X46" s="44"/>
      <c r="Y46" s="44">
        <f>3500000000+684779075-1250000000-74625000</f>
        <v>2860154075</v>
      </c>
      <c r="Z46" s="44"/>
      <c r="AA46" s="44">
        <v>73500000</v>
      </c>
      <c r="AB46" s="44">
        <v>17010083</v>
      </c>
      <c r="AC46" s="44"/>
      <c r="AD46" s="44"/>
      <c r="AE46" s="44"/>
      <c r="AF46" s="44"/>
      <c r="AG46" s="46">
        <f t="shared" si="1"/>
        <v>0.83951704723008147</v>
      </c>
      <c r="AH46" s="44">
        <f t="shared" si="21"/>
        <v>2504828459</v>
      </c>
      <c r="AI46" s="44"/>
      <c r="AJ46" s="44">
        <f>+'[3]Acuerdo PLAN INVERSIÓN 2021'!$J$1416</f>
        <v>3000000</v>
      </c>
      <c r="AK46" s="44"/>
      <c r="AL46" s="44"/>
      <c r="AM46" s="44"/>
      <c r="AN46" s="44"/>
      <c r="AO46" s="44"/>
      <c r="AP46" s="44">
        <f>+'[6]Acuerdo PLAN INVERSIÓN 2021'!$S$2398</f>
        <v>17381368</v>
      </c>
      <c r="AQ46" s="44"/>
      <c r="AR46" s="44"/>
      <c r="AS46" s="44"/>
      <c r="AT46" s="44"/>
      <c r="AU46" s="44"/>
      <c r="AV46" s="44"/>
      <c r="AW46" s="44"/>
      <c r="AX46" s="44">
        <f>+'[5]Acuerdo PLAN INVERSIÓN 2021'!$W$2916</f>
        <v>2416797262</v>
      </c>
      <c r="AY46" s="44"/>
      <c r="AZ46" s="44">
        <f>+'[5]Acuerdo PLAN INVERSIÓN 2021'!$X$2916</f>
        <v>52343162</v>
      </c>
      <c r="BA46" s="44">
        <f>+'[10]Acuerdo PLAN INVERSIÓN 2021'!$X$345</f>
        <v>15306667</v>
      </c>
      <c r="BB46" s="44"/>
      <c r="BC46" s="44"/>
      <c r="BD46" s="44"/>
      <c r="BE46" s="44"/>
      <c r="BF46" s="46">
        <f t="shared" si="12"/>
        <v>0.16048295276991853</v>
      </c>
      <c r="BG46" s="44">
        <f t="shared" si="22"/>
        <v>478825616</v>
      </c>
      <c r="BH46" s="44">
        <f t="shared" si="34"/>
        <v>0</v>
      </c>
      <c r="BI46" s="44">
        <f t="shared" si="34"/>
        <v>4989917</v>
      </c>
      <c r="BJ46" s="44">
        <f t="shared" si="34"/>
        <v>0</v>
      </c>
      <c r="BK46" s="44">
        <f t="shared" si="34"/>
        <v>0</v>
      </c>
      <c r="BL46" s="44">
        <f t="shared" si="34"/>
        <v>0</v>
      </c>
      <c r="BM46" s="44">
        <f t="shared" si="34"/>
        <v>0</v>
      </c>
      <c r="BN46" s="44">
        <f t="shared" si="34"/>
        <v>0</v>
      </c>
      <c r="BO46" s="44">
        <f t="shared" si="34"/>
        <v>7618632</v>
      </c>
      <c r="BP46" s="44">
        <f t="shared" si="34"/>
        <v>0</v>
      </c>
      <c r="BQ46" s="44">
        <f t="shared" si="34"/>
        <v>0</v>
      </c>
      <c r="BR46" s="44">
        <f t="shared" si="34"/>
        <v>0</v>
      </c>
      <c r="BS46" s="44">
        <f t="shared" si="34"/>
        <v>0</v>
      </c>
      <c r="BT46" s="44">
        <f t="shared" si="34"/>
        <v>0</v>
      </c>
      <c r="BU46" s="44">
        <f t="shared" si="34"/>
        <v>0</v>
      </c>
      <c r="BV46" s="44">
        <f t="shared" si="34"/>
        <v>0</v>
      </c>
      <c r="BW46" s="44">
        <f t="shared" si="32"/>
        <v>443356813</v>
      </c>
      <c r="BX46" s="44">
        <f t="shared" si="24"/>
        <v>0</v>
      </c>
      <c r="BY46" s="44">
        <f t="shared" si="24"/>
        <v>21156838</v>
      </c>
      <c r="BZ46" s="44">
        <f t="shared" si="24"/>
        <v>1703416</v>
      </c>
      <c r="CA46" s="44">
        <f t="shared" si="24"/>
        <v>0</v>
      </c>
      <c r="CB46" s="44">
        <f t="shared" si="24"/>
        <v>0</v>
      </c>
      <c r="CC46" s="44">
        <f t="shared" si="24"/>
        <v>0</v>
      </c>
      <c r="CD46" s="44">
        <f t="shared" si="24"/>
        <v>0</v>
      </c>
      <c r="CE46" s="46">
        <f t="shared" si="6"/>
        <v>0.69305604169276891</v>
      </c>
      <c r="CF46" s="44">
        <f t="shared" si="25"/>
        <v>2067839483</v>
      </c>
      <c r="CG46" s="44"/>
      <c r="CH46" s="44">
        <f>+'[5]Acuerdo PLAN INVERSIÓN 2021'!$H$3209+'[5]Acuerdo PLAN INVERSIÓN 2021'!$H$3352</f>
        <v>2040807</v>
      </c>
      <c r="CI46" s="44"/>
      <c r="CJ46" s="44"/>
      <c r="CK46" s="44"/>
      <c r="CL46" s="44"/>
      <c r="CM46" s="44"/>
      <c r="CN46" s="44">
        <f>+'[6]Acuerdo PLAN INVERSIÓN 2021'!$H$2526+'[6]Acuerdo PLAN INVERSIÓN 2021'!$H$2546+'[6]Acuerdo PLAN INVERSIÓN 2021'!$H$3006</f>
        <v>17381366</v>
      </c>
      <c r="CO46" s="44"/>
      <c r="CP46" s="44"/>
      <c r="CQ46" s="44"/>
      <c r="CR46" s="44"/>
      <c r="CS46" s="44"/>
      <c r="CT46" s="44"/>
      <c r="CU46" s="44"/>
      <c r="CV46" s="44">
        <f>+'[5]Acuerdo PLAN INVERSIÓN 2021'!$H$2914-CH46-CN46-CX46-CY46</f>
        <v>1982267495</v>
      </c>
      <c r="CW46" s="44"/>
      <c r="CX46" s="44">
        <f>+'[5]Acuerdo PLAN INVERSIÓN 2021'!$H$3191+'[5]Acuerdo PLAN INVERSIÓN 2021'!$H$3339+'[5]Acuerdo PLAN INVERSIÓN 2021'!$H$3367+'[5]Acuerdo PLAN INVERSIÓN 2021'!$H$3414+'[5]Acuerdo PLAN INVERSIÓN 2021'!$H$3431+'[5]Acuerdo PLAN INVERSIÓN 2021'!$H$3434+'[5]Acuerdo PLAN INVERSIÓN 2021'!$H$3437+'[5]Acuerdo PLAN INVERSIÓN 2021'!$H$3440+'[5]Acuerdo PLAN INVERSIÓN 2021'!$H$3744</f>
        <v>50843149</v>
      </c>
      <c r="CY46" s="44">
        <f>+'[4]Acuerdo PLAN INVERSIÓN 2021'!$H$1278</f>
        <v>15306666</v>
      </c>
      <c r="CZ46" s="44"/>
      <c r="DA46" s="44"/>
      <c r="DB46" s="44"/>
      <c r="DC46" s="44"/>
      <c r="DD46" s="46">
        <f t="shared" si="8"/>
        <v>0.30694395830723109</v>
      </c>
      <c r="DE46" s="44">
        <f t="shared" si="26"/>
        <v>915814592</v>
      </c>
      <c r="DF46" s="44">
        <f t="shared" si="35"/>
        <v>0</v>
      </c>
      <c r="DG46" s="44">
        <f t="shared" si="35"/>
        <v>5949110</v>
      </c>
      <c r="DH46" s="44">
        <f t="shared" si="35"/>
        <v>0</v>
      </c>
      <c r="DI46" s="44">
        <f t="shared" si="35"/>
        <v>0</v>
      </c>
      <c r="DJ46" s="44">
        <f t="shared" si="35"/>
        <v>0</v>
      </c>
      <c r="DK46" s="44">
        <f t="shared" si="35"/>
        <v>0</v>
      </c>
      <c r="DL46" s="44">
        <f t="shared" si="35"/>
        <v>0</v>
      </c>
      <c r="DM46" s="44">
        <f t="shared" si="35"/>
        <v>7618634</v>
      </c>
      <c r="DN46" s="44">
        <f t="shared" si="35"/>
        <v>0</v>
      </c>
      <c r="DO46" s="44">
        <f t="shared" si="35"/>
        <v>0</v>
      </c>
      <c r="DP46" s="44">
        <f t="shared" si="35"/>
        <v>0</v>
      </c>
      <c r="DQ46" s="44">
        <f t="shared" si="35"/>
        <v>0</v>
      </c>
      <c r="DR46" s="44">
        <f t="shared" si="35"/>
        <v>0</v>
      </c>
      <c r="DS46" s="44">
        <f t="shared" si="35"/>
        <v>0</v>
      </c>
      <c r="DT46" s="44">
        <f t="shared" si="35"/>
        <v>0</v>
      </c>
      <c r="DU46" s="44">
        <f t="shared" si="33"/>
        <v>877886580</v>
      </c>
      <c r="DV46" s="44">
        <f t="shared" si="28"/>
        <v>0</v>
      </c>
      <c r="DW46" s="44">
        <f t="shared" si="28"/>
        <v>22656851</v>
      </c>
      <c r="DX46" s="44">
        <f t="shared" si="28"/>
        <v>1703417</v>
      </c>
      <c r="DY46" s="44">
        <f t="shared" si="28"/>
        <v>0</v>
      </c>
      <c r="DZ46" s="44">
        <f t="shared" si="28"/>
        <v>0</v>
      </c>
      <c r="EA46" s="44">
        <f t="shared" si="28"/>
        <v>0</v>
      </c>
      <c r="EB46" s="44">
        <f t="shared" si="28"/>
        <v>0</v>
      </c>
      <c r="EE46" s="75">
        <f t="shared" si="29"/>
        <v>2983654075</v>
      </c>
      <c r="EF46" s="75">
        <f t="shared" si="30"/>
        <v>2067839483</v>
      </c>
    </row>
    <row r="47" spans="1:136" ht="26.25" hidden="1" customHeight="1" x14ac:dyDescent="0.25">
      <c r="A47" s="88"/>
      <c r="B47" s="77" t="s">
        <v>159</v>
      </c>
      <c r="C47" s="40" t="s">
        <v>160</v>
      </c>
      <c r="D47" s="54" t="s">
        <v>161</v>
      </c>
      <c r="E47" s="42">
        <v>410</v>
      </c>
      <c r="F47" s="56" t="s">
        <v>162</v>
      </c>
      <c r="G47" s="44">
        <f t="shared" si="20"/>
        <v>139000000</v>
      </c>
      <c r="H47" s="45">
        <v>198000000</v>
      </c>
      <c r="I47" s="45">
        <f t="shared" si="31"/>
        <v>59000000</v>
      </c>
      <c r="J47" s="44"/>
      <c r="K47" s="44">
        <v>90000000</v>
      </c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>
        <v>20000000</v>
      </c>
      <c r="AB47" s="44"/>
      <c r="AC47" s="44"/>
      <c r="AD47" s="44"/>
      <c r="AE47" s="44"/>
      <c r="AF47" s="44">
        <f>5000000+24000000</f>
        <v>29000000</v>
      </c>
      <c r="AG47" s="46">
        <f t="shared" si="1"/>
        <v>1</v>
      </c>
      <c r="AH47" s="44">
        <f t="shared" si="21"/>
        <v>139000000</v>
      </c>
      <c r="AI47" s="44"/>
      <c r="AJ47" s="44">
        <f>+'[4]Acuerdo PLAN INVERSIÓN 2021'!$J$1475</f>
        <v>90000000</v>
      </c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>
        <f>+'[4]Acuerdo PLAN INVERSIÓN 2021'!$X$1475</f>
        <v>20000000</v>
      </c>
      <c r="BA47" s="44"/>
      <c r="BB47" s="44"/>
      <c r="BC47" s="44"/>
      <c r="BD47" s="44"/>
      <c r="BE47" s="44">
        <f>+'[7]Acuerdo PLAN INVERSIÓN 2021'!$AF$1255</f>
        <v>29000000</v>
      </c>
      <c r="BF47" s="46">
        <f t="shared" si="12"/>
        <v>0</v>
      </c>
      <c r="BG47" s="44">
        <f t="shared" si="22"/>
        <v>0</v>
      </c>
      <c r="BH47" s="44">
        <f t="shared" si="34"/>
        <v>0</v>
      </c>
      <c r="BI47" s="44">
        <f t="shared" si="34"/>
        <v>0</v>
      </c>
      <c r="BJ47" s="44">
        <f t="shared" si="34"/>
        <v>0</v>
      </c>
      <c r="BK47" s="44">
        <f t="shared" si="34"/>
        <v>0</v>
      </c>
      <c r="BL47" s="44">
        <f t="shared" si="34"/>
        <v>0</v>
      </c>
      <c r="BM47" s="44">
        <f t="shared" si="34"/>
        <v>0</v>
      </c>
      <c r="BN47" s="44">
        <f t="shared" si="34"/>
        <v>0</v>
      </c>
      <c r="BO47" s="44">
        <f t="shared" si="34"/>
        <v>0</v>
      </c>
      <c r="BP47" s="44">
        <f t="shared" si="34"/>
        <v>0</v>
      </c>
      <c r="BQ47" s="44">
        <f t="shared" si="34"/>
        <v>0</v>
      </c>
      <c r="BR47" s="44">
        <f t="shared" si="34"/>
        <v>0</v>
      </c>
      <c r="BS47" s="44">
        <f t="shared" si="34"/>
        <v>0</v>
      </c>
      <c r="BT47" s="44">
        <f t="shared" si="34"/>
        <v>0</v>
      </c>
      <c r="BU47" s="44">
        <f t="shared" si="34"/>
        <v>0</v>
      </c>
      <c r="BV47" s="44">
        <f t="shared" si="34"/>
        <v>0</v>
      </c>
      <c r="BW47" s="44">
        <f t="shared" si="32"/>
        <v>0</v>
      </c>
      <c r="BX47" s="44">
        <f t="shared" si="24"/>
        <v>0</v>
      </c>
      <c r="BY47" s="44">
        <f t="shared" si="24"/>
        <v>0</v>
      </c>
      <c r="BZ47" s="44">
        <f t="shared" si="24"/>
        <v>0</v>
      </c>
      <c r="CA47" s="44">
        <f t="shared" si="24"/>
        <v>0</v>
      </c>
      <c r="CB47" s="44">
        <f t="shared" si="24"/>
        <v>0</v>
      </c>
      <c r="CC47" s="44">
        <f t="shared" si="24"/>
        <v>0</v>
      </c>
      <c r="CD47" s="44">
        <f t="shared" si="24"/>
        <v>0</v>
      </c>
      <c r="CE47" s="46">
        <f t="shared" si="6"/>
        <v>0.92221749640287765</v>
      </c>
      <c r="CF47" s="44">
        <f t="shared" si="25"/>
        <v>128188232</v>
      </c>
      <c r="CG47" s="44"/>
      <c r="CH47" s="44">
        <f>+'[5]Acuerdo PLAN INVERSIÓN 2021'!$H$3758+'[5]Acuerdo PLAN INVERSIÓN 2021'!$H$3764+'[5]Acuerdo PLAN INVERSIÓN 2021'!$H$3767+'[5]Acuerdo PLAN INVERSIÓN 2021'!$H$3775</f>
        <v>89754339</v>
      </c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>
        <f>+'[5]Acuerdo PLAN INVERSIÓN 2021'!$H$3779+'[5]Acuerdo PLAN INVERSIÓN 2021'!$H$3784</f>
        <v>13018560</v>
      </c>
      <c r="CY47" s="44"/>
      <c r="CZ47" s="44"/>
      <c r="DA47" s="44"/>
      <c r="DB47" s="44"/>
      <c r="DC47" s="44">
        <f>+'[5]Acuerdo PLAN INVERSIÓN 2021'!$H$3761+'[5]Acuerdo PLAN INVERSIÓN 2021'!$H$3770</f>
        <v>25415333</v>
      </c>
      <c r="DD47" s="46">
        <f t="shared" si="8"/>
        <v>7.7782503597122354E-2</v>
      </c>
      <c r="DE47" s="44">
        <f t="shared" si="26"/>
        <v>10811768</v>
      </c>
      <c r="DF47" s="44">
        <f t="shared" si="35"/>
        <v>0</v>
      </c>
      <c r="DG47" s="44">
        <f t="shared" si="35"/>
        <v>245661</v>
      </c>
      <c r="DH47" s="44">
        <f t="shared" si="35"/>
        <v>0</v>
      </c>
      <c r="DI47" s="44">
        <f t="shared" si="35"/>
        <v>0</v>
      </c>
      <c r="DJ47" s="44">
        <f t="shared" si="35"/>
        <v>0</v>
      </c>
      <c r="DK47" s="44">
        <f t="shared" si="35"/>
        <v>0</v>
      </c>
      <c r="DL47" s="44">
        <f t="shared" si="35"/>
        <v>0</v>
      </c>
      <c r="DM47" s="44">
        <f t="shared" si="35"/>
        <v>0</v>
      </c>
      <c r="DN47" s="44">
        <f t="shared" si="35"/>
        <v>0</v>
      </c>
      <c r="DO47" s="44">
        <f t="shared" si="35"/>
        <v>0</v>
      </c>
      <c r="DP47" s="44">
        <f t="shared" si="35"/>
        <v>0</v>
      </c>
      <c r="DQ47" s="44">
        <f t="shared" si="35"/>
        <v>0</v>
      </c>
      <c r="DR47" s="44">
        <f t="shared" si="35"/>
        <v>0</v>
      </c>
      <c r="DS47" s="44">
        <f t="shared" si="35"/>
        <v>0</v>
      </c>
      <c r="DT47" s="44">
        <f t="shared" si="35"/>
        <v>0</v>
      </c>
      <c r="DU47" s="44">
        <f t="shared" si="33"/>
        <v>0</v>
      </c>
      <c r="DV47" s="44">
        <f t="shared" si="28"/>
        <v>0</v>
      </c>
      <c r="DW47" s="44">
        <f t="shared" si="28"/>
        <v>6981440</v>
      </c>
      <c r="DX47" s="44">
        <f t="shared" si="28"/>
        <v>0</v>
      </c>
      <c r="DY47" s="44">
        <f t="shared" si="28"/>
        <v>0</v>
      </c>
      <c r="DZ47" s="44">
        <f t="shared" si="28"/>
        <v>0</v>
      </c>
      <c r="EA47" s="44">
        <f t="shared" si="28"/>
        <v>0</v>
      </c>
      <c r="EB47" s="44">
        <f t="shared" si="28"/>
        <v>3584667</v>
      </c>
      <c r="EE47" s="75">
        <f t="shared" si="29"/>
        <v>139000000</v>
      </c>
      <c r="EF47" s="75">
        <f t="shared" si="30"/>
        <v>128188232</v>
      </c>
    </row>
    <row r="48" spans="1:136" ht="29.25" hidden="1" customHeight="1" x14ac:dyDescent="0.25">
      <c r="A48" s="88"/>
      <c r="B48" s="84"/>
      <c r="C48" s="40" t="s">
        <v>163</v>
      </c>
      <c r="D48" s="54" t="s">
        <v>164</v>
      </c>
      <c r="E48" s="42">
        <v>410</v>
      </c>
      <c r="F48" s="43" t="s">
        <v>165</v>
      </c>
      <c r="G48" s="44">
        <f t="shared" si="20"/>
        <v>144453059</v>
      </c>
      <c r="H48" s="45">
        <v>100000000</v>
      </c>
      <c r="I48" s="45">
        <f t="shared" si="31"/>
        <v>-44453059</v>
      </c>
      <c r="J48" s="44"/>
      <c r="K48" s="44"/>
      <c r="L48" s="44"/>
      <c r="M48" s="44"/>
      <c r="N48" s="44"/>
      <c r="O48" s="44"/>
      <c r="P48" s="44"/>
      <c r="Q48" s="44">
        <v>30000000</v>
      </c>
      <c r="R48" s="44"/>
      <c r="S48" s="44"/>
      <c r="T48" s="44"/>
      <c r="U48" s="44"/>
      <c r="V48" s="44"/>
      <c r="W48" s="44"/>
      <c r="X48" s="44"/>
      <c r="Y48" s="44"/>
      <c r="Z48" s="44"/>
      <c r="AA48" s="44">
        <v>45015674</v>
      </c>
      <c r="AB48" s="44"/>
      <c r="AC48" s="44"/>
      <c r="AD48" s="44"/>
      <c r="AE48" s="44"/>
      <c r="AF48" s="44">
        <f>10000000+17180000+4100000+23621676+3000000+3000000+5535709+3000000</f>
        <v>69437385</v>
      </c>
      <c r="AG48" s="46">
        <f t="shared" si="1"/>
        <v>0.96527817385992498</v>
      </c>
      <c r="AH48" s="44">
        <f>SUM(AI48:BE48)</f>
        <v>139437385</v>
      </c>
      <c r="AI48" s="44"/>
      <c r="AJ48" s="44"/>
      <c r="AK48" s="44"/>
      <c r="AL48" s="44"/>
      <c r="AM48" s="44"/>
      <c r="AN48" s="44"/>
      <c r="AO48" s="44"/>
      <c r="AP48" s="44">
        <f>+'[4]Acuerdo PLAN INVERSIÓN 2021'!$S$1497</f>
        <v>30000000</v>
      </c>
      <c r="AQ48" s="44"/>
      <c r="AR48" s="44"/>
      <c r="AS48" s="44"/>
      <c r="AT48" s="44"/>
      <c r="AU48" s="44"/>
      <c r="AV48" s="44"/>
      <c r="AW48" s="44"/>
      <c r="AX48" s="44"/>
      <c r="AY48" s="44"/>
      <c r="AZ48" s="44">
        <f>+'[5]Acuerdo PLAN INVERSIÓN 2021'!$X$3800</f>
        <v>40000000</v>
      </c>
      <c r="BA48" s="44"/>
      <c r="BB48" s="44"/>
      <c r="BC48" s="44"/>
      <c r="BD48" s="44"/>
      <c r="BE48" s="44">
        <f>+'[5]Acuerdo PLAN INVERSIÓN 2021'!$AF$3800</f>
        <v>69437385</v>
      </c>
      <c r="BF48" s="46">
        <f t="shared" si="12"/>
        <v>3.4721826140075018E-2</v>
      </c>
      <c r="BG48" s="44">
        <f t="shared" si="22"/>
        <v>5015674</v>
      </c>
      <c r="BH48" s="44">
        <f t="shared" si="34"/>
        <v>0</v>
      </c>
      <c r="BI48" s="44">
        <f t="shared" si="34"/>
        <v>0</v>
      </c>
      <c r="BJ48" s="44">
        <f t="shared" si="34"/>
        <v>0</v>
      </c>
      <c r="BK48" s="44">
        <f t="shared" si="34"/>
        <v>0</v>
      </c>
      <c r="BL48" s="44">
        <f t="shared" si="34"/>
        <v>0</v>
      </c>
      <c r="BM48" s="44">
        <f t="shared" si="34"/>
        <v>0</v>
      </c>
      <c r="BN48" s="44">
        <f t="shared" si="34"/>
        <v>0</v>
      </c>
      <c r="BO48" s="44">
        <f t="shared" si="34"/>
        <v>0</v>
      </c>
      <c r="BP48" s="44">
        <f t="shared" si="34"/>
        <v>0</v>
      </c>
      <c r="BQ48" s="44">
        <f t="shared" si="34"/>
        <v>0</v>
      </c>
      <c r="BR48" s="44">
        <f t="shared" si="34"/>
        <v>0</v>
      </c>
      <c r="BS48" s="44">
        <f t="shared" si="34"/>
        <v>0</v>
      </c>
      <c r="BT48" s="44">
        <f t="shared" si="34"/>
        <v>0</v>
      </c>
      <c r="BU48" s="44">
        <f t="shared" si="34"/>
        <v>0</v>
      </c>
      <c r="BV48" s="44">
        <f t="shared" si="34"/>
        <v>0</v>
      </c>
      <c r="BW48" s="44">
        <f t="shared" si="32"/>
        <v>0</v>
      </c>
      <c r="BX48" s="44">
        <f t="shared" si="24"/>
        <v>0</v>
      </c>
      <c r="BY48" s="44">
        <f t="shared" si="24"/>
        <v>5015674</v>
      </c>
      <c r="BZ48" s="44">
        <f t="shared" si="24"/>
        <v>0</v>
      </c>
      <c r="CA48" s="44">
        <f t="shared" si="24"/>
        <v>0</v>
      </c>
      <c r="CB48" s="44">
        <f t="shared" si="24"/>
        <v>0</v>
      </c>
      <c r="CC48" s="44">
        <f t="shared" si="24"/>
        <v>0</v>
      </c>
      <c r="CD48" s="44">
        <f t="shared" si="24"/>
        <v>0</v>
      </c>
      <c r="CE48" s="46">
        <f t="shared" si="6"/>
        <v>0.75430761213578734</v>
      </c>
      <c r="CF48" s="44">
        <f t="shared" si="25"/>
        <v>108962042</v>
      </c>
      <c r="CG48" s="44"/>
      <c r="CH48" s="44"/>
      <c r="CI48" s="44"/>
      <c r="CJ48" s="44"/>
      <c r="CK48" s="44"/>
      <c r="CL48" s="44"/>
      <c r="CM48" s="44"/>
      <c r="CN48" s="44">
        <f>+'[5]Acuerdo PLAN INVERSIÓN 2021'!$H$3804+'[5]Acuerdo PLAN INVERSIÓN 2021'!$H$3807+'[5]Acuerdo PLAN INVERSIÓN 2021'!$H$3828</f>
        <v>23679830</v>
      </c>
      <c r="CO48" s="44"/>
      <c r="CP48" s="44"/>
      <c r="CQ48" s="44"/>
      <c r="CR48" s="44"/>
      <c r="CS48" s="44"/>
      <c r="CT48" s="44"/>
      <c r="CU48" s="44"/>
      <c r="CV48" s="44"/>
      <c r="CW48" s="44"/>
      <c r="CX48" s="44">
        <f>+'[5]Acuerdo PLAN INVERSIÓN 2021'!$H$3833</f>
        <v>20969401</v>
      </c>
      <c r="CY48" s="44"/>
      <c r="CZ48" s="44"/>
      <c r="DA48" s="44"/>
      <c r="DB48" s="44"/>
      <c r="DC48" s="44">
        <f>+'[5]Acuerdo PLAN INVERSIÓN 2021'!$H$3801+'[5]Acuerdo PLAN INVERSIÓN 2021'!$H$3810+'[5]Acuerdo PLAN INVERSIÓN 2021'!$H$3813+'[5]Acuerdo PLAN INVERSIÓN 2021'!$H$3817+'[5]Acuerdo PLAN INVERSIÓN 2021'!$H$3822+'[5]Acuerdo PLAN INVERSIÓN 2021'!$H$3825+'[5]Acuerdo PLAN INVERSIÓN 2021'!$H$3838+'[5]Acuerdo PLAN INVERSIÓN 2021'!$H$3846</f>
        <v>64312811</v>
      </c>
      <c r="DD48" s="46">
        <f>1-CE48</f>
        <v>0.24569238786421266</v>
      </c>
      <c r="DE48" s="44">
        <f t="shared" si="26"/>
        <v>35491017</v>
      </c>
      <c r="DF48" s="44">
        <f t="shared" si="35"/>
        <v>0</v>
      </c>
      <c r="DG48" s="44">
        <f t="shared" si="35"/>
        <v>0</v>
      </c>
      <c r="DH48" s="44">
        <f t="shared" si="35"/>
        <v>0</v>
      </c>
      <c r="DI48" s="44">
        <f t="shared" si="35"/>
        <v>0</v>
      </c>
      <c r="DJ48" s="44">
        <f t="shared" si="35"/>
        <v>0</v>
      </c>
      <c r="DK48" s="44">
        <f t="shared" si="35"/>
        <v>0</v>
      </c>
      <c r="DL48" s="44">
        <f t="shared" si="35"/>
        <v>0</v>
      </c>
      <c r="DM48" s="44">
        <f t="shared" si="35"/>
        <v>6320170</v>
      </c>
      <c r="DN48" s="44">
        <f t="shared" si="35"/>
        <v>0</v>
      </c>
      <c r="DO48" s="44">
        <f t="shared" si="35"/>
        <v>0</v>
      </c>
      <c r="DP48" s="44">
        <f t="shared" si="35"/>
        <v>0</v>
      </c>
      <c r="DQ48" s="44">
        <f t="shared" si="35"/>
        <v>0</v>
      </c>
      <c r="DR48" s="44">
        <f t="shared" si="35"/>
        <v>0</v>
      </c>
      <c r="DS48" s="44">
        <f t="shared" si="35"/>
        <v>0</v>
      </c>
      <c r="DT48" s="44">
        <f t="shared" si="35"/>
        <v>0</v>
      </c>
      <c r="DU48" s="44">
        <f t="shared" si="33"/>
        <v>0</v>
      </c>
      <c r="DV48" s="44">
        <f t="shared" si="28"/>
        <v>0</v>
      </c>
      <c r="DW48" s="44">
        <f t="shared" si="28"/>
        <v>24046273</v>
      </c>
      <c r="DX48" s="44">
        <f t="shared" si="28"/>
        <v>0</v>
      </c>
      <c r="DY48" s="44">
        <f t="shared" si="28"/>
        <v>0</v>
      </c>
      <c r="DZ48" s="44">
        <f t="shared" si="28"/>
        <v>0</v>
      </c>
      <c r="EA48" s="44">
        <f t="shared" si="28"/>
        <v>0</v>
      </c>
      <c r="EB48" s="44">
        <f t="shared" si="28"/>
        <v>5124574</v>
      </c>
      <c r="EE48" s="75">
        <f t="shared" si="29"/>
        <v>144453059</v>
      </c>
      <c r="EF48" s="75">
        <f t="shared" si="30"/>
        <v>108962042</v>
      </c>
    </row>
    <row r="49" spans="1:137" ht="23.25" hidden="1" customHeight="1" x14ac:dyDescent="0.25">
      <c r="A49" s="88"/>
      <c r="B49" s="81"/>
      <c r="C49" s="40" t="s">
        <v>166</v>
      </c>
      <c r="D49" s="54" t="s">
        <v>167</v>
      </c>
      <c r="E49" s="42">
        <v>410</v>
      </c>
      <c r="F49" s="56" t="s">
        <v>150</v>
      </c>
      <c r="G49" s="44">
        <f t="shared" si="20"/>
        <v>387982158</v>
      </c>
      <c r="H49" s="45">
        <v>243836000</v>
      </c>
      <c r="I49" s="45">
        <f t="shared" si="31"/>
        <v>-144146158</v>
      </c>
      <c r="J49" s="44"/>
      <c r="K49" s="44">
        <f>150000000+20000000</f>
        <v>170000000</v>
      </c>
      <c r="L49" s="44"/>
      <c r="M49" s="44"/>
      <c r="N49" s="44"/>
      <c r="O49" s="44"/>
      <c r="P49" s="44"/>
      <c r="Q49" s="44">
        <f>17696610+25000000</f>
        <v>42696610</v>
      </c>
      <c r="R49" s="44"/>
      <c r="S49" s="44"/>
      <c r="T49" s="44"/>
      <c r="U49" s="44">
        <f>20000000+38135548</f>
        <v>58135548</v>
      </c>
      <c r="V49" s="44"/>
      <c r="W49" s="44"/>
      <c r="X49" s="44"/>
      <c r="Y49" s="44"/>
      <c r="Z49" s="44"/>
      <c r="AA49" s="44">
        <v>110000000</v>
      </c>
      <c r="AB49" s="44"/>
      <c r="AC49" s="44"/>
      <c r="AD49" s="44"/>
      <c r="AE49" s="44"/>
      <c r="AF49" s="44">
        <f>5000000+25000000-22850000</f>
        <v>7150000</v>
      </c>
      <c r="AG49" s="46">
        <f t="shared" si="1"/>
        <v>0.52566633747111635</v>
      </c>
      <c r="AH49" s="44">
        <f t="shared" si="21"/>
        <v>203949160</v>
      </c>
      <c r="AI49" s="44"/>
      <c r="AJ49" s="44">
        <f>+'[1]Acuerdo PLAN INVERSIÓN 2021'!$J$2646</f>
        <v>134984000</v>
      </c>
      <c r="AK49" s="44"/>
      <c r="AL49" s="44"/>
      <c r="AM49" s="44"/>
      <c r="AN49" s="44"/>
      <c r="AO49" s="44"/>
      <c r="AP49" s="44">
        <f>+'[6]Acuerdo PLAN INVERSIÓN 2021'!$S$3217</f>
        <v>20000000</v>
      </c>
      <c r="AQ49" s="44"/>
      <c r="AR49" s="44"/>
      <c r="AS49" s="44"/>
      <c r="AT49" s="44">
        <f>+'[6]Acuerdo PLAN INVERSIÓN 2021'!$O$3217</f>
        <v>20000000</v>
      </c>
      <c r="AU49" s="44"/>
      <c r="AV49" s="44"/>
      <c r="AW49" s="44"/>
      <c r="AX49" s="44"/>
      <c r="AY49" s="44"/>
      <c r="AZ49" s="44">
        <f>+'[5]Acuerdo PLAN INVERSIÓN 2021'!$X$3855</f>
        <v>21815160</v>
      </c>
      <c r="BA49" s="44"/>
      <c r="BB49" s="44"/>
      <c r="BC49" s="44"/>
      <c r="BD49" s="44"/>
      <c r="BE49" s="44">
        <f>+'[1]Acuerdo PLAN INVERSIÓN 2021'!$AF$2646</f>
        <v>7150000</v>
      </c>
      <c r="BF49" s="46">
        <f t="shared" si="12"/>
        <v>0.47433366252888365</v>
      </c>
      <c r="BG49" s="44">
        <f t="shared" si="22"/>
        <v>184032998</v>
      </c>
      <c r="BH49" s="44">
        <f t="shared" si="34"/>
        <v>0</v>
      </c>
      <c r="BI49" s="44">
        <f t="shared" si="34"/>
        <v>35016000</v>
      </c>
      <c r="BJ49" s="44">
        <f t="shared" si="34"/>
        <v>0</v>
      </c>
      <c r="BK49" s="44">
        <f t="shared" si="34"/>
        <v>0</v>
      </c>
      <c r="BL49" s="44">
        <f t="shared" si="34"/>
        <v>0</v>
      </c>
      <c r="BM49" s="44">
        <f t="shared" si="34"/>
        <v>0</v>
      </c>
      <c r="BN49" s="44">
        <f t="shared" si="34"/>
        <v>0</v>
      </c>
      <c r="BO49" s="44">
        <f t="shared" si="34"/>
        <v>22696610</v>
      </c>
      <c r="BP49" s="44">
        <f t="shared" si="34"/>
        <v>0</v>
      </c>
      <c r="BQ49" s="44">
        <f t="shared" si="34"/>
        <v>0</v>
      </c>
      <c r="BR49" s="44">
        <f t="shared" si="34"/>
        <v>0</v>
      </c>
      <c r="BS49" s="44">
        <f t="shared" si="34"/>
        <v>38135548</v>
      </c>
      <c r="BT49" s="44">
        <f t="shared" si="34"/>
        <v>0</v>
      </c>
      <c r="BU49" s="44">
        <f t="shared" si="34"/>
        <v>0</v>
      </c>
      <c r="BV49" s="44">
        <f t="shared" si="34"/>
        <v>0</v>
      </c>
      <c r="BW49" s="44">
        <f t="shared" si="32"/>
        <v>0</v>
      </c>
      <c r="BX49" s="44">
        <f t="shared" si="24"/>
        <v>0</v>
      </c>
      <c r="BY49" s="44">
        <f t="shared" si="24"/>
        <v>88184840</v>
      </c>
      <c r="BZ49" s="44">
        <f t="shared" si="24"/>
        <v>0</v>
      </c>
      <c r="CA49" s="44">
        <f t="shared" si="24"/>
        <v>0</v>
      </c>
      <c r="CB49" s="44">
        <f t="shared" si="24"/>
        <v>0</v>
      </c>
      <c r="CC49" s="44">
        <f t="shared" si="24"/>
        <v>0</v>
      </c>
      <c r="CD49" s="44">
        <f t="shared" si="24"/>
        <v>0</v>
      </c>
      <c r="CE49" s="46">
        <f t="shared" si="6"/>
        <v>0.34983648397563682</v>
      </c>
      <c r="CF49" s="44">
        <f t="shared" si="25"/>
        <v>135730314</v>
      </c>
      <c r="CG49" s="44"/>
      <c r="CH49" s="44">
        <f>+'[5]Acuerdo PLAN INVERSIÓN 2021'!$H$3856+'[5]Acuerdo PLAN INVERSIÓN 2021'!$H$3861+'[5]Acuerdo PLAN INVERSIÓN 2021'!$H$3864+'[5]Acuerdo PLAN INVERSIÓN 2021'!$H$3894+'[5]Acuerdo PLAN INVERSIÓN 2021'!$H$3897+'[5]Acuerdo PLAN INVERSIÓN 2021'!$H$3900+'[5]Acuerdo PLAN INVERSIÓN 2021'!$H$3903+'[5]Acuerdo PLAN INVERSIÓN 2021'!$H$3906+'[5]Acuerdo PLAN INVERSIÓN 2021'!$H$3925+'[5]Acuerdo PLAN INVERSIÓN 2021'!$H$3928+'[5]Acuerdo PLAN INVERSIÓN 2021'!$H$3931+'[5]Acuerdo PLAN INVERSIÓN 2021'!$H$3939+'[5]Acuerdo PLAN INVERSIÓN 2021'!$H$3951+'[5]Acuerdo PLAN INVERSIÓN 2021'!$H$3954+'[5]Acuerdo PLAN INVERSIÓN 2021'!$H$3976</f>
        <v>110318042</v>
      </c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>
        <f>+'[5]Acuerdo PLAN INVERSIÓN 2021'!$H$3942+'[5]Acuerdo PLAN INVERSIÓN 2021'!$H$3945+'[5]Acuerdo PLAN INVERSIÓN 2021'!$H$3948+'[5]Acuerdo PLAN INVERSIÓN 2021'!$H$3980+'[5]Acuerdo PLAN INVERSIÓN 2021'!$H$4010</f>
        <v>18262272</v>
      </c>
      <c r="CY49" s="44"/>
      <c r="CZ49" s="44"/>
      <c r="DA49" s="44"/>
      <c r="DB49" s="44"/>
      <c r="DC49" s="44">
        <f>+'[5]Acuerdo PLAN INVERSIÓN 2021'!$H$3969+'[5]Acuerdo PLAN INVERSIÓN 2021'!$H$3973</f>
        <v>7150000</v>
      </c>
      <c r="DD49" s="46">
        <f t="shared" si="8"/>
        <v>0.65016351602436318</v>
      </c>
      <c r="DE49" s="44">
        <f t="shared" si="26"/>
        <v>252251844</v>
      </c>
      <c r="DF49" s="44">
        <f t="shared" si="35"/>
        <v>0</v>
      </c>
      <c r="DG49" s="44">
        <f t="shared" si="35"/>
        <v>59681958</v>
      </c>
      <c r="DH49" s="44">
        <f t="shared" si="35"/>
        <v>0</v>
      </c>
      <c r="DI49" s="44">
        <f t="shared" si="35"/>
        <v>0</v>
      </c>
      <c r="DJ49" s="44">
        <f t="shared" si="35"/>
        <v>0</v>
      </c>
      <c r="DK49" s="44">
        <f t="shared" si="35"/>
        <v>0</v>
      </c>
      <c r="DL49" s="44">
        <f t="shared" si="35"/>
        <v>0</v>
      </c>
      <c r="DM49" s="44">
        <f t="shared" si="35"/>
        <v>42696610</v>
      </c>
      <c r="DN49" s="44">
        <f t="shared" si="35"/>
        <v>0</v>
      </c>
      <c r="DO49" s="44">
        <f t="shared" si="35"/>
        <v>0</v>
      </c>
      <c r="DP49" s="44">
        <f t="shared" si="35"/>
        <v>0</v>
      </c>
      <c r="DQ49" s="44">
        <f t="shared" si="35"/>
        <v>58135548</v>
      </c>
      <c r="DR49" s="44">
        <f t="shared" si="35"/>
        <v>0</v>
      </c>
      <c r="DS49" s="44">
        <f t="shared" si="35"/>
        <v>0</v>
      </c>
      <c r="DT49" s="44">
        <f t="shared" si="35"/>
        <v>0</v>
      </c>
      <c r="DU49" s="44">
        <f t="shared" si="33"/>
        <v>0</v>
      </c>
      <c r="DV49" s="44">
        <f t="shared" si="28"/>
        <v>0</v>
      </c>
      <c r="DW49" s="44">
        <f t="shared" si="28"/>
        <v>91737728</v>
      </c>
      <c r="DX49" s="44">
        <f t="shared" si="28"/>
        <v>0</v>
      </c>
      <c r="DY49" s="44">
        <f t="shared" si="28"/>
        <v>0</v>
      </c>
      <c r="DZ49" s="44">
        <f t="shared" si="28"/>
        <v>0</v>
      </c>
      <c r="EA49" s="44">
        <f t="shared" si="28"/>
        <v>0</v>
      </c>
      <c r="EB49" s="44">
        <f t="shared" si="28"/>
        <v>0</v>
      </c>
      <c r="EE49" s="75">
        <f t="shared" si="29"/>
        <v>387982158</v>
      </c>
      <c r="EF49" s="75">
        <f t="shared" si="30"/>
        <v>135730314</v>
      </c>
    </row>
    <row r="50" spans="1:137" s="74" customFormat="1" ht="17.45" customHeight="1" thickTop="1" thickBot="1" x14ac:dyDescent="0.3">
      <c r="A50" s="89"/>
      <c r="B50" s="186" t="s">
        <v>168</v>
      </c>
      <c r="C50" s="186"/>
      <c r="D50" s="186"/>
      <c r="E50" s="186"/>
      <c r="F50" s="187"/>
      <c r="G50" s="92">
        <f t="shared" ref="G50:AF50" si="36">SUM(G25:G49)</f>
        <v>9209707080</v>
      </c>
      <c r="H50" s="92">
        <f t="shared" si="36"/>
        <v>7720196000</v>
      </c>
      <c r="I50" s="92">
        <f t="shared" si="36"/>
        <v>-1489511080</v>
      </c>
      <c r="J50" s="92">
        <f t="shared" si="36"/>
        <v>0</v>
      </c>
      <c r="K50" s="92">
        <f t="shared" si="36"/>
        <v>477989917</v>
      </c>
      <c r="L50" s="92">
        <f t="shared" si="36"/>
        <v>0</v>
      </c>
      <c r="M50" s="92">
        <f t="shared" si="36"/>
        <v>0</v>
      </c>
      <c r="N50" s="92">
        <f t="shared" si="36"/>
        <v>0</v>
      </c>
      <c r="O50" s="92">
        <f t="shared" si="36"/>
        <v>0</v>
      </c>
      <c r="P50" s="92">
        <f t="shared" si="36"/>
        <v>0</v>
      </c>
      <c r="Q50" s="92">
        <f t="shared" si="36"/>
        <v>3406132571</v>
      </c>
      <c r="R50" s="92">
        <f t="shared" si="36"/>
        <v>75000000</v>
      </c>
      <c r="S50" s="92">
        <f t="shared" si="36"/>
        <v>180000000</v>
      </c>
      <c r="T50" s="92">
        <f t="shared" si="36"/>
        <v>30000000</v>
      </c>
      <c r="U50" s="92">
        <f t="shared" si="36"/>
        <v>58135548</v>
      </c>
      <c r="V50" s="92">
        <f t="shared" si="36"/>
        <v>0</v>
      </c>
      <c r="W50" s="92">
        <f t="shared" si="36"/>
        <v>0</v>
      </c>
      <c r="X50" s="92">
        <f t="shared" si="36"/>
        <v>104834591</v>
      </c>
      <c r="Y50" s="92">
        <f>SUM(Y25:Y49)</f>
        <v>2860154075</v>
      </c>
      <c r="Z50" s="92">
        <f t="shared" si="36"/>
        <v>0</v>
      </c>
      <c r="AA50" s="92">
        <f t="shared" si="36"/>
        <v>625000000</v>
      </c>
      <c r="AB50" s="92">
        <f t="shared" si="36"/>
        <v>392155169</v>
      </c>
      <c r="AC50" s="92">
        <f t="shared" si="36"/>
        <v>0</v>
      </c>
      <c r="AD50" s="92">
        <f t="shared" si="36"/>
        <v>475996742</v>
      </c>
      <c r="AE50" s="92">
        <f t="shared" si="36"/>
        <v>0</v>
      </c>
      <c r="AF50" s="92">
        <f t="shared" si="36"/>
        <v>524308467</v>
      </c>
      <c r="AG50" s="73">
        <f t="shared" si="1"/>
        <v>0.75414457828771686</v>
      </c>
      <c r="AH50" s="92">
        <f>SUM(AH25:AH49)</f>
        <v>6945450662</v>
      </c>
      <c r="AI50" s="92">
        <f t="shared" ref="AI50:CT50" si="37">SUM(AI25:AI49)</f>
        <v>0</v>
      </c>
      <c r="AJ50" s="92">
        <f t="shared" si="37"/>
        <v>404664018</v>
      </c>
      <c r="AK50" s="92">
        <f t="shared" si="37"/>
        <v>0</v>
      </c>
      <c r="AL50" s="92">
        <f t="shared" si="37"/>
        <v>0</v>
      </c>
      <c r="AM50" s="92">
        <f t="shared" si="37"/>
        <v>0</v>
      </c>
      <c r="AN50" s="92">
        <f t="shared" si="37"/>
        <v>0</v>
      </c>
      <c r="AO50" s="92">
        <f t="shared" si="37"/>
        <v>0</v>
      </c>
      <c r="AP50" s="92">
        <f t="shared" si="37"/>
        <v>2259474345</v>
      </c>
      <c r="AQ50" s="92">
        <f t="shared" si="37"/>
        <v>58183470</v>
      </c>
      <c r="AR50" s="92">
        <f t="shared" si="37"/>
        <v>57981429</v>
      </c>
      <c r="AS50" s="92">
        <f t="shared" si="37"/>
        <v>21857364</v>
      </c>
      <c r="AT50" s="92">
        <f t="shared" si="37"/>
        <v>20000000</v>
      </c>
      <c r="AU50" s="92">
        <f t="shared" si="37"/>
        <v>0</v>
      </c>
      <c r="AV50" s="92">
        <f t="shared" si="37"/>
        <v>0</v>
      </c>
      <c r="AW50" s="92">
        <f t="shared" si="37"/>
        <v>50000000</v>
      </c>
      <c r="AX50" s="92">
        <f t="shared" si="37"/>
        <v>2416797262</v>
      </c>
      <c r="AY50" s="92">
        <f t="shared" si="37"/>
        <v>0</v>
      </c>
      <c r="AZ50" s="92">
        <f t="shared" si="37"/>
        <v>426410072</v>
      </c>
      <c r="BA50" s="92">
        <f t="shared" si="37"/>
        <v>357711753</v>
      </c>
      <c r="BB50" s="92">
        <f t="shared" si="37"/>
        <v>0</v>
      </c>
      <c r="BC50" s="92">
        <f t="shared" si="37"/>
        <v>467767409</v>
      </c>
      <c r="BD50" s="92">
        <f t="shared" si="37"/>
        <v>0</v>
      </c>
      <c r="BE50" s="92">
        <f t="shared" si="37"/>
        <v>404603540</v>
      </c>
      <c r="BF50" s="73">
        <f t="shared" si="12"/>
        <v>0.24585542171228314</v>
      </c>
      <c r="BG50" s="92">
        <f t="shared" si="37"/>
        <v>2264256418</v>
      </c>
      <c r="BH50" s="92">
        <f t="shared" si="37"/>
        <v>0</v>
      </c>
      <c r="BI50" s="92">
        <f t="shared" si="37"/>
        <v>73325899</v>
      </c>
      <c r="BJ50" s="92">
        <f t="shared" si="37"/>
        <v>0</v>
      </c>
      <c r="BK50" s="92">
        <f t="shared" si="37"/>
        <v>0</v>
      </c>
      <c r="BL50" s="92">
        <f t="shared" si="37"/>
        <v>0</v>
      </c>
      <c r="BM50" s="92">
        <f t="shared" si="37"/>
        <v>0</v>
      </c>
      <c r="BN50" s="92">
        <f t="shared" si="37"/>
        <v>0</v>
      </c>
      <c r="BO50" s="92">
        <f t="shared" si="37"/>
        <v>1146658226</v>
      </c>
      <c r="BP50" s="92">
        <f t="shared" si="37"/>
        <v>16816530</v>
      </c>
      <c r="BQ50" s="92">
        <f t="shared" si="37"/>
        <v>122018571</v>
      </c>
      <c r="BR50" s="92">
        <f t="shared" si="37"/>
        <v>8142636</v>
      </c>
      <c r="BS50" s="92">
        <f t="shared" si="37"/>
        <v>38135548</v>
      </c>
      <c r="BT50" s="92">
        <f t="shared" si="37"/>
        <v>0</v>
      </c>
      <c r="BU50" s="92">
        <f t="shared" si="37"/>
        <v>0</v>
      </c>
      <c r="BV50" s="92">
        <f t="shared" si="37"/>
        <v>54834591</v>
      </c>
      <c r="BW50" s="92">
        <f t="shared" si="37"/>
        <v>443356813</v>
      </c>
      <c r="BX50" s="92">
        <f t="shared" si="37"/>
        <v>0</v>
      </c>
      <c r="BY50" s="92">
        <f t="shared" si="37"/>
        <v>198589928</v>
      </c>
      <c r="BZ50" s="92">
        <f t="shared" si="37"/>
        <v>34443416</v>
      </c>
      <c r="CA50" s="92">
        <f t="shared" si="37"/>
        <v>0</v>
      </c>
      <c r="CB50" s="92">
        <f t="shared" si="37"/>
        <v>8229333</v>
      </c>
      <c r="CC50" s="92">
        <f t="shared" si="37"/>
        <v>0</v>
      </c>
      <c r="CD50" s="92">
        <f t="shared" si="37"/>
        <v>119704927</v>
      </c>
      <c r="CE50" s="73">
        <f>CF50/G50</f>
        <v>0.55659352827104247</v>
      </c>
      <c r="CF50" s="92">
        <f t="shared" si="37"/>
        <v>5126063358</v>
      </c>
      <c r="CG50" s="92">
        <f t="shared" si="37"/>
        <v>0</v>
      </c>
      <c r="CH50" s="92">
        <f t="shared" si="37"/>
        <v>363019581</v>
      </c>
      <c r="CI50" s="92">
        <f t="shared" si="37"/>
        <v>0</v>
      </c>
      <c r="CJ50" s="92">
        <f t="shared" si="37"/>
        <v>0</v>
      </c>
      <c r="CK50" s="92">
        <f t="shared" si="37"/>
        <v>0</v>
      </c>
      <c r="CL50" s="92">
        <f t="shared" si="37"/>
        <v>0</v>
      </c>
      <c r="CM50" s="92">
        <f t="shared" si="37"/>
        <v>0</v>
      </c>
      <c r="CN50" s="92">
        <f t="shared" si="37"/>
        <v>1680122209</v>
      </c>
      <c r="CO50" s="92">
        <f t="shared" si="37"/>
        <v>20074931</v>
      </c>
      <c r="CP50" s="92">
        <f t="shared" si="37"/>
        <v>21592891</v>
      </c>
      <c r="CQ50" s="92">
        <f t="shared" si="37"/>
        <v>12174526</v>
      </c>
      <c r="CR50" s="92">
        <f t="shared" si="37"/>
        <v>0</v>
      </c>
      <c r="CS50" s="92">
        <f t="shared" si="37"/>
        <v>0</v>
      </c>
      <c r="CT50" s="92">
        <f t="shared" si="37"/>
        <v>0</v>
      </c>
      <c r="CU50" s="92">
        <f t="shared" ref="CU50:EB50" si="38">SUM(CU25:CU49)</f>
        <v>7513999</v>
      </c>
      <c r="CV50" s="92">
        <f t="shared" si="38"/>
        <v>1982267495</v>
      </c>
      <c r="CW50" s="92">
        <f t="shared" si="38"/>
        <v>0</v>
      </c>
      <c r="CX50" s="92">
        <f t="shared" si="38"/>
        <v>347973367</v>
      </c>
      <c r="CY50" s="92">
        <f t="shared" si="38"/>
        <v>45416665</v>
      </c>
      <c r="CZ50" s="92">
        <f t="shared" si="38"/>
        <v>0</v>
      </c>
      <c r="DA50" s="92">
        <f t="shared" si="38"/>
        <v>311472790</v>
      </c>
      <c r="DB50" s="92">
        <f t="shared" si="38"/>
        <v>0</v>
      </c>
      <c r="DC50" s="92">
        <f t="shared" si="38"/>
        <v>334434904</v>
      </c>
      <c r="DD50" s="73">
        <f>1-CE50</f>
        <v>0.44340647172895753</v>
      </c>
      <c r="DE50" s="92">
        <f t="shared" si="38"/>
        <v>4083643722</v>
      </c>
      <c r="DF50" s="92">
        <f t="shared" si="38"/>
        <v>0</v>
      </c>
      <c r="DG50" s="92">
        <f t="shared" si="38"/>
        <v>114970336</v>
      </c>
      <c r="DH50" s="92">
        <f t="shared" si="38"/>
        <v>0</v>
      </c>
      <c r="DI50" s="92">
        <f t="shared" si="38"/>
        <v>0</v>
      </c>
      <c r="DJ50" s="92">
        <f t="shared" si="38"/>
        <v>0</v>
      </c>
      <c r="DK50" s="92">
        <f t="shared" si="38"/>
        <v>0</v>
      </c>
      <c r="DL50" s="92">
        <f t="shared" si="38"/>
        <v>0</v>
      </c>
      <c r="DM50" s="92">
        <f t="shared" si="38"/>
        <v>1726010362</v>
      </c>
      <c r="DN50" s="92">
        <f t="shared" si="38"/>
        <v>54925069</v>
      </c>
      <c r="DO50" s="92">
        <f t="shared" si="38"/>
        <v>158407109</v>
      </c>
      <c r="DP50" s="92">
        <f t="shared" si="38"/>
        <v>17825474</v>
      </c>
      <c r="DQ50" s="92">
        <f t="shared" si="38"/>
        <v>58135548</v>
      </c>
      <c r="DR50" s="92">
        <f t="shared" si="38"/>
        <v>0</v>
      </c>
      <c r="DS50" s="92">
        <f t="shared" si="38"/>
        <v>0</v>
      </c>
      <c r="DT50" s="92">
        <f t="shared" si="38"/>
        <v>97320592</v>
      </c>
      <c r="DU50" s="92">
        <f t="shared" si="38"/>
        <v>877886580</v>
      </c>
      <c r="DV50" s="92">
        <f t="shared" si="38"/>
        <v>0</v>
      </c>
      <c r="DW50" s="92">
        <f t="shared" si="38"/>
        <v>277026633</v>
      </c>
      <c r="DX50" s="92">
        <f t="shared" si="38"/>
        <v>346738504</v>
      </c>
      <c r="DY50" s="92">
        <f t="shared" si="38"/>
        <v>0</v>
      </c>
      <c r="DZ50" s="92">
        <f t="shared" si="38"/>
        <v>164523952</v>
      </c>
      <c r="EA50" s="92">
        <f t="shared" si="38"/>
        <v>0</v>
      </c>
      <c r="EB50" s="92">
        <f t="shared" si="38"/>
        <v>189873563</v>
      </c>
      <c r="EC50" s="188"/>
      <c r="ED50" s="201" t="s">
        <v>387</v>
      </c>
      <c r="EE50" s="75">
        <f t="shared" si="29"/>
        <v>9209707080</v>
      </c>
      <c r="EF50" s="75">
        <f t="shared" si="30"/>
        <v>5126063358</v>
      </c>
      <c r="EG50" s="188">
        <f>+CE50</f>
        <v>0.55659352827104247</v>
      </c>
    </row>
    <row r="51" spans="1:137" ht="27.75" hidden="1" customHeight="1" thickTop="1" x14ac:dyDescent="0.25">
      <c r="A51" s="93" t="s">
        <v>169</v>
      </c>
      <c r="B51" s="186" t="s">
        <v>170</v>
      </c>
      <c r="C51" s="186" t="s">
        <v>171</v>
      </c>
      <c r="D51" s="186" t="s">
        <v>172</v>
      </c>
      <c r="E51" s="186">
        <v>520</v>
      </c>
      <c r="F51" s="187" t="s">
        <v>173</v>
      </c>
      <c r="G51" s="44">
        <f t="shared" ref="G51:G76" si="39">SUM(J51:AF51)</f>
        <v>33908250</v>
      </c>
      <c r="H51" s="45">
        <v>45000000</v>
      </c>
      <c r="I51" s="45">
        <f>H51-G51</f>
        <v>11091750</v>
      </c>
      <c r="J51" s="44"/>
      <c r="K51" s="44">
        <f>20000000+10000000-6091750</f>
        <v>23908250</v>
      </c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>
        <f>20000000-20000000</f>
        <v>0</v>
      </c>
      <c r="AB51" s="44"/>
      <c r="AC51" s="44"/>
      <c r="AD51" s="44"/>
      <c r="AE51" s="44"/>
      <c r="AF51" s="44">
        <f>6000000+4000000</f>
        <v>10000000</v>
      </c>
      <c r="AG51" s="79">
        <f t="shared" si="1"/>
        <v>0.80830623815738056</v>
      </c>
      <c r="AH51" s="80">
        <f t="shared" ref="AH51:AH114" si="40">SUM(AI51:BE51)</f>
        <v>27408250</v>
      </c>
      <c r="AI51" s="44"/>
      <c r="AJ51" s="80">
        <f>+'[2]Acuerdo PLAN INVERSIÓN 2021'!$J$2329</f>
        <v>23408250</v>
      </c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>
        <f>+'[6]Acuerdo PLAN INVERSIÓN 2021'!$AF$3368</f>
        <v>4000000</v>
      </c>
      <c r="BF51" s="79">
        <f t="shared" si="12"/>
        <v>0.19169376184261944</v>
      </c>
      <c r="BG51" s="44">
        <f t="shared" ref="BG51:BG76" si="41">SUM(BH51:CD51)</f>
        <v>6500000</v>
      </c>
      <c r="BH51" s="44">
        <f t="shared" ref="BH51:BW66" si="42">+J51-AI51</f>
        <v>0</v>
      </c>
      <c r="BI51" s="44">
        <f t="shared" si="42"/>
        <v>500000</v>
      </c>
      <c r="BJ51" s="44">
        <f t="shared" si="42"/>
        <v>0</v>
      </c>
      <c r="BK51" s="44">
        <f t="shared" si="42"/>
        <v>0</v>
      </c>
      <c r="BL51" s="44">
        <f t="shared" si="42"/>
        <v>0</v>
      </c>
      <c r="BM51" s="44">
        <f t="shared" si="42"/>
        <v>0</v>
      </c>
      <c r="BN51" s="44">
        <f t="shared" si="42"/>
        <v>0</v>
      </c>
      <c r="BO51" s="44">
        <f t="shared" si="42"/>
        <v>0</v>
      </c>
      <c r="BP51" s="44">
        <f t="shared" si="42"/>
        <v>0</v>
      </c>
      <c r="BQ51" s="44">
        <f t="shared" si="42"/>
        <v>0</v>
      </c>
      <c r="BR51" s="44">
        <f t="shared" si="42"/>
        <v>0</v>
      </c>
      <c r="BS51" s="44">
        <f t="shared" si="42"/>
        <v>0</v>
      </c>
      <c r="BT51" s="44">
        <f t="shared" si="42"/>
        <v>0</v>
      </c>
      <c r="BU51" s="44">
        <f t="shared" si="42"/>
        <v>0</v>
      </c>
      <c r="BV51" s="44">
        <f t="shared" si="42"/>
        <v>0</v>
      </c>
      <c r="BW51" s="44">
        <f t="shared" si="42"/>
        <v>0</v>
      </c>
      <c r="BX51" s="44">
        <f t="shared" ref="BX51:CD76" si="43">+Z51-AY51</f>
        <v>0</v>
      </c>
      <c r="BY51" s="44">
        <f t="shared" si="43"/>
        <v>0</v>
      </c>
      <c r="BZ51" s="44">
        <f t="shared" si="43"/>
        <v>0</v>
      </c>
      <c r="CA51" s="44">
        <f t="shared" si="43"/>
        <v>0</v>
      </c>
      <c r="CB51" s="44">
        <f t="shared" si="43"/>
        <v>0</v>
      </c>
      <c r="CC51" s="44">
        <f t="shared" si="43"/>
        <v>0</v>
      </c>
      <c r="CD51" s="44">
        <f t="shared" si="43"/>
        <v>6000000</v>
      </c>
      <c r="CE51" s="79">
        <f t="shared" ref="CE51:CE114" si="44">CF51/G51</f>
        <v>0.394749065492911</v>
      </c>
      <c r="CF51" s="44">
        <f t="shared" ref="CF51:CF114" si="45">SUM(CG51:DC51)</f>
        <v>13385250</v>
      </c>
      <c r="CG51" s="44"/>
      <c r="CH51" s="44">
        <f>+'[2]Acuerdo PLAN INVERSIÓN 2021'!$H$2327</f>
        <v>12885250</v>
      </c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>
        <f>+'[5]Acuerdo PLAN INVERSIÓN 2021'!$H$4037</f>
        <v>500000</v>
      </c>
      <c r="DD51" s="46">
        <f t="shared" si="8"/>
        <v>0.605250934507089</v>
      </c>
      <c r="DE51" s="44">
        <f t="shared" ref="DE51:DE96" si="46">SUM(DF51:EB51)</f>
        <v>20523000</v>
      </c>
      <c r="DF51" s="44">
        <f t="shared" ref="DF51:DU66" si="47">+J51-CG51</f>
        <v>0</v>
      </c>
      <c r="DG51" s="44">
        <f t="shared" si="47"/>
        <v>11023000</v>
      </c>
      <c r="DH51" s="44">
        <f t="shared" si="47"/>
        <v>0</v>
      </c>
      <c r="DI51" s="44">
        <f t="shared" si="47"/>
        <v>0</v>
      </c>
      <c r="DJ51" s="44">
        <f t="shared" si="47"/>
        <v>0</v>
      </c>
      <c r="DK51" s="44">
        <f t="shared" si="47"/>
        <v>0</v>
      </c>
      <c r="DL51" s="44">
        <f t="shared" si="47"/>
        <v>0</v>
      </c>
      <c r="DM51" s="44">
        <f t="shared" si="47"/>
        <v>0</v>
      </c>
      <c r="DN51" s="44">
        <f t="shared" si="47"/>
        <v>0</v>
      </c>
      <c r="DO51" s="44">
        <f t="shared" si="47"/>
        <v>0</v>
      </c>
      <c r="DP51" s="44">
        <f t="shared" si="47"/>
        <v>0</v>
      </c>
      <c r="DQ51" s="44">
        <f t="shared" si="47"/>
        <v>0</v>
      </c>
      <c r="DR51" s="44">
        <f t="shared" si="47"/>
        <v>0</v>
      </c>
      <c r="DS51" s="44">
        <f t="shared" si="47"/>
        <v>0</v>
      </c>
      <c r="DT51" s="44">
        <f t="shared" si="47"/>
        <v>0</v>
      </c>
      <c r="DU51" s="44">
        <f t="shared" si="47"/>
        <v>0</v>
      </c>
      <c r="DV51" s="44">
        <f t="shared" ref="DV51:EB76" si="48">+Z51-CW51</f>
        <v>0</v>
      </c>
      <c r="DW51" s="44">
        <f t="shared" si="48"/>
        <v>0</v>
      </c>
      <c r="DX51" s="44">
        <f t="shared" si="48"/>
        <v>0</v>
      </c>
      <c r="DY51" s="44">
        <f t="shared" si="48"/>
        <v>0</v>
      </c>
      <c r="DZ51" s="44">
        <f t="shared" si="48"/>
        <v>0</v>
      </c>
      <c r="EA51" s="44">
        <f t="shared" si="48"/>
        <v>0</v>
      </c>
      <c r="EB51" s="44">
        <f t="shared" si="48"/>
        <v>9500000</v>
      </c>
      <c r="EE51" s="75">
        <f t="shared" si="29"/>
        <v>33908250</v>
      </c>
      <c r="EF51" s="75">
        <f t="shared" si="30"/>
        <v>13385250</v>
      </c>
    </row>
    <row r="52" spans="1:137" ht="24.75" hidden="1" customHeight="1" x14ac:dyDescent="0.25">
      <c r="A52" s="97"/>
      <c r="B52" s="186"/>
      <c r="C52" s="186" t="s">
        <v>174</v>
      </c>
      <c r="D52" s="186" t="s">
        <v>175</v>
      </c>
      <c r="E52" s="186">
        <v>520</v>
      </c>
      <c r="F52" s="187" t="s">
        <v>176</v>
      </c>
      <c r="G52" s="44">
        <f t="shared" si="39"/>
        <v>60000000</v>
      </c>
      <c r="H52" s="45">
        <v>70000000</v>
      </c>
      <c r="I52" s="45">
        <f t="shared" ref="I52:I76" si="49">H52-G52</f>
        <v>10000000</v>
      </c>
      <c r="J52" s="44"/>
      <c r="K52" s="44">
        <f>20000000+10000000</f>
        <v>30000000</v>
      </c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>
        <f>30000000</f>
        <v>30000000</v>
      </c>
      <c r="AB52" s="44"/>
      <c r="AC52" s="44"/>
      <c r="AD52" s="44"/>
      <c r="AE52" s="44"/>
      <c r="AF52" s="44">
        <f>16000000-16000000</f>
        <v>0</v>
      </c>
      <c r="AG52" s="46">
        <f t="shared" si="1"/>
        <v>0.83333333333333337</v>
      </c>
      <c r="AH52" s="44">
        <f t="shared" si="40"/>
        <v>50000000</v>
      </c>
      <c r="AI52" s="44"/>
      <c r="AJ52" s="44">
        <f>+'[2]Acuerdo PLAN INVERSIÓN 2021'!$J$2349</f>
        <v>20000000</v>
      </c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>
        <f>+'[6]Acuerdo PLAN INVERSIÓN 2021'!$X$3390</f>
        <v>30000000</v>
      </c>
      <c r="BA52" s="44"/>
      <c r="BB52" s="44"/>
      <c r="BC52" s="44"/>
      <c r="BD52" s="44"/>
      <c r="BE52" s="44"/>
      <c r="BF52" s="46">
        <f t="shared" si="12"/>
        <v>0.16666666666666663</v>
      </c>
      <c r="BG52" s="44">
        <f t="shared" si="41"/>
        <v>10000000</v>
      </c>
      <c r="BH52" s="44">
        <f t="shared" si="42"/>
        <v>0</v>
      </c>
      <c r="BI52" s="44">
        <f t="shared" si="42"/>
        <v>10000000</v>
      </c>
      <c r="BJ52" s="44">
        <f t="shared" si="42"/>
        <v>0</v>
      </c>
      <c r="BK52" s="44">
        <f t="shared" si="42"/>
        <v>0</v>
      </c>
      <c r="BL52" s="44">
        <f t="shared" si="42"/>
        <v>0</v>
      </c>
      <c r="BM52" s="44">
        <f t="shared" si="42"/>
        <v>0</v>
      </c>
      <c r="BN52" s="44">
        <f t="shared" si="42"/>
        <v>0</v>
      </c>
      <c r="BO52" s="44">
        <f t="shared" si="42"/>
        <v>0</v>
      </c>
      <c r="BP52" s="44">
        <f t="shared" si="42"/>
        <v>0</v>
      </c>
      <c r="BQ52" s="44">
        <f t="shared" si="42"/>
        <v>0</v>
      </c>
      <c r="BR52" s="44">
        <f t="shared" si="42"/>
        <v>0</v>
      </c>
      <c r="BS52" s="44">
        <f t="shared" si="42"/>
        <v>0</v>
      </c>
      <c r="BT52" s="44">
        <f t="shared" si="42"/>
        <v>0</v>
      </c>
      <c r="BU52" s="44">
        <f t="shared" si="42"/>
        <v>0</v>
      </c>
      <c r="BV52" s="44">
        <f t="shared" si="42"/>
        <v>0</v>
      </c>
      <c r="BW52" s="44">
        <f t="shared" si="42"/>
        <v>0</v>
      </c>
      <c r="BX52" s="44">
        <f t="shared" si="43"/>
        <v>0</v>
      </c>
      <c r="BY52" s="44">
        <f t="shared" si="43"/>
        <v>0</v>
      </c>
      <c r="BZ52" s="44">
        <f t="shared" si="43"/>
        <v>0</v>
      </c>
      <c r="CA52" s="44">
        <f t="shared" si="43"/>
        <v>0</v>
      </c>
      <c r="CB52" s="44">
        <f t="shared" si="43"/>
        <v>0</v>
      </c>
      <c r="CC52" s="44">
        <f t="shared" si="43"/>
        <v>0</v>
      </c>
      <c r="CD52" s="44">
        <f t="shared" si="43"/>
        <v>0</v>
      </c>
      <c r="CE52" s="46">
        <f t="shared" si="44"/>
        <v>0.61724058333333331</v>
      </c>
      <c r="CF52" s="44">
        <f t="shared" si="45"/>
        <v>37034435</v>
      </c>
      <c r="CG52" s="44"/>
      <c r="CH52" s="44">
        <f>+'[8]Acuerdo PLAN INVERSIÓN 2021'!$H$657+'[7]Acuerdo PLAN INVERSIÓN 2021'!$H$1400+'[7]Acuerdo PLAN INVERSIÓN 2021'!$H$1403</f>
        <v>19999997</v>
      </c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>
        <f>+'[3]Acuerdo PLAN INVERSIÓN 2021'!$H$2006+'[3]Acuerdo PLAN INVERSIÓN 2021'!$H$2009</f>
        <v>17034438</v>
      </c>
      <c r="CY52" s="44"/>
      <c r="CZ52" s="44"/>
      <c r="DA52" s="44"/>
      <c r="DB52" s="44"/>
      <c r="DC52" s="44"/>
      <c r="DD52" s="46">
        <f t="shared" si="8"/>
        <v>0.38275941666666669</v>
      </c>
      <c r="DE52" s="44">
        <f t="shared" si="46"/>
        <v>22965565</v>
      </c>
      <c r="DF52" s="44">
        <f t="shared" si="47"/>
        <v>0</v>
      </c>
      <c r="DG52" s="44">
        <f t="shared" si="47"/>
        <v>10000003</v>
      </c>
      <c r="DH52" s="44">
        <f t="shared" si="47"/>
        <v>0</v>
      </c>
      <c r="DI52" s="44">
        <f t="shared" si="47"/>
        <v>0</v>
      </c>
      <c r="DJ52" s="44">
        <f t="shared" si="47"/>
        <v>0</v>
      </c>
      <c r="DK52" s="44">
        <f t="shared" si="47"/>
        <v>0</v>
      </c>
      <c r="DL52" s="44">
        <f t="shared" si="47"/>
        <v>0</v>
      </c>
      <c r="DM52" s="44">
        <f t="shared" si="47"/>
        <v>0</v>
      </c>
      <c r="DN52" s="44">
        <f t="shared" si="47"/>
        <v>0</v>
      </c>
      <c r="DO52" s="44">
        <f t="shared" si="47"/>
        <v>0</v>
      </c>
      <c r="DP52" s="44">
        <f t="shared" si="47"/>
        <v>0</v>
      </c>
      <c r="DQ52" s="44">
        <f t="shared" si="47"/>
        <v>0</v>
      </c>
      <c r="DR52" s="44">
        <f t="shared" si="47"/>
        <v>0</v>
      </c>
      <c r="DS52" s="44">
        <f t="shared" si="47"/>
        <v>0</v>
      </c>
      <c r="DT52" s="44">
        <f t="shared" si="47"/>
        <v>0</v>
      </c>
      <c r="DU52" s="44">
        <f t="shared" si="47"/>
        <v>0</v>
      </c>
      <c r="DV52" s="44">
        <f t="shared" si="48"/>
        <v>0</v>
      </c>
      <c r="DW52" s="44">
        <f t="shared" si="48"/>
        <v>12965562</v>
      </c>
      <c r="DX52" s="44">
        <f t="shared" si="48"/>
        <v>0</v>
      </c>
      <c r="DY52" s="44">
        <f t="shared" si="48"/>
        <v>0</v>
      </c>
      <c r="DZ52" s="44">
        <f t="shared" si="48"/>
        <v>0</v>
      </c>
      <c r="EA52" s="44">
        <f t="shared" si="48"/>
        <v>0</v>
      </c>
      <c r="EB52" s="44">
        <f t="shared" si="48"/>
        <v>0</v>
      </c>
      <c r="EE52" s="75">
        <f t="shared" si="29"/>
        <v>60000000</v>
      </c>
      <c r="EF52" s="75">
        <f t="shared" si="30"/>
        <v>37034435</v>
      </c>
    </row>
    <row r="53" spans="1:137" ht="21.6" hidden="1" customHeight="1" x14ac:dyDescent="0.25">
      <c r="A53" s="97"/>
      <c r="B53" s="186"/>
      <c r="C53" s="186" t="s">
        <v>177</v>
      </c>
      <c r="D53" s="186" t="s">
        <v>178</v>
      </c>
      <c r="E53" s="186">
        <v>520</v>
      </c>
      <c r="F53" s="187" t="s">
        <v>102</v>
      </c>
      <c r="G53" s="44">
        <f t="shared" si="39"/>
        <v>65000000</v>
      </c>
      <c r="H53" s="45">
        <v>55000000</v>
      </c>
      <c r="I53" s="45">
        <f t="shared" si="49"/>
        <v>-10000000</v>
      </c>
      <c r="J53" s="44"/>
      <c r="K53" s="44">
        <f>20000000+10000000-5000000</f>
        <v>25000000</v>
      </c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>
        <f>40000000</f>
        <v>40000000</v>
      </c>
      <c r="AB53" s="44"/>
      <c r="AC53" s="44"/>
      <c r="AD53" s="44"/>
      <c r="AE53" s="44"/>
      <c r="AF53" s="44"/>
      <c r="AG53" s="46">
        <f t="shared" si="1"/>
        <v>0.23076923076923078</v>
      </c>
      <c r="AH53" s="44">
        <f t="shared" si="40"/>
        <v>15000000</v>
      </c>
      <c r="AI53" s="44"/>
      <c r="AJ53" s="44">
        <f>+'[2]Acuerdo PLAN INVERSIÓN 2021'!$J$2374</f>
        <v>15000000</v>
      </c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6">
        <f t="shared" si="12"/>
        <v>0.76923076923076916</v>
      </c>
      <c r="BG53" s="44">
        <f t="shared" si="41"/>
        <v>50000000</v>
      </c>
      <c r="BH53" s="44">
        <f t="shared" si="42"/>
        <v>0</v>
      </c>
      <c r="BI53" s="44">
        <f t="shared" si="42"/>
        <v>10000000</v>
      </c>
      <c r="BJ53" s="44">
        <f t="shared" si="42"/>
        <v>0</v>
      </c>
      <c r="BK53" s="44">
        <f t="shared" si="42"/>
        <v>0</v>
      </c>
      <c r="BL53" s="44">
        <f t="shared" si="42"/>
        <v>0</v>
      </c>
      <c r="BM53" s="44">
        <f t="shared" si="42"/>
        <v>0</v>
      </c>
      <c r="BN53" s="44">
        <f t="shared" si="42"/>
        <v>0</v>
      </c>
      <c r="BO53" s="44">
        <f t="shared" si="42"/>
        <v>0</v>
      </c>
      <c r="BP53" s="44">
        <f t="shared" si="42"/>
        <v>0</v>
      </c>
      <c r="BQ53" s="44">
        <f t="shared" si="42"/>
        <v>0</v>
      </c>
      <c r="BR53" s="44">
        <f t="shared" si="42"/>
        <v>0</v>
      </c>
      <c r="BS53" s="44">
        <f t="shared" si="42"/>
        <v>0</v>
      </c>
      <c r="BT53" s="44">
        <f t="shared" si="42"/>
        <v>0</v>
      </c>
      <c r="BU53" s="44">
        <f t="shared" si="42"/>
        <v>0</v>
      </c>
      <c r="BV53" s="44">
        <f t="shared" si="42"/>
        <v>0</v>
      </c>
      <c r="BW53" s="44">
        <f t="shared" si="42"/>
        <v>0</v>
      </c>
      <c r="BX53" s="44">
        <f t="shared" si="43"/>
        <v>0</v>
      </c>
      <c r="BY53" s="44">
        <f t="shared" si="43"/>
        <v>40000000</v>
      </c>
      <c r="BZ53" s="44">
        <f t="shared" si="43"/>
        <v>0</v>
      </c>
      <c r="CA53" s="44">
        <f t="shared" si="43"/>
        <v>0</v>
      </c>
      <c r="CB53" s="44">
        <f t="shared" si="43"/>
        <v>0</v>
      </c>
      <c r="CC53" s="44">
        <f t="shared" si="43"/>
        <v>0</v>
      </c>
      <c r="CD53" s="44">
        <f t="shared" si="43"/>
        <v>0</v>
      </c>
      <c r="CE53" s="46">
        <f t="shared" si="44"/>
        <v>0.21538458461538462</v>
      </c>
      <c r="CF53" s="44">
        <f t="shared" si="45"/>
        <v>13999998</v>
      </c>
      <c r="CG53" s="44"/>
      <c r="CH53" s="44">
        <f>+'[6]Acuerdo PLAN INVERSIÓN 2021'!$H$3415</f>
        <v>13999998</v>
      </c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6">
        <f t="shared" si="8"/>
        <v>0.78461541538461543</v>
      </c>
      <c r="DE53" s="44">
        <f t="shared" si="46"/>
        <v>51000002</v>
      </c>
      <c r="DF53" s="44">
        <f t="shared" si="47"/>
        <v>0</v>
      </c>
      <c r="DG53" s="44">
        <f t="shared" si="47"/>
        <v>11000002</v>
      </c>
      <c r="DH53" s="44">
        <f t="shared" si="47"/>
        <v>0</v>
      </c>
      <c r="DI53" s="44">
        <f t="shared" si="47"/>
        <v>0</v>
      </c>
      <c r="DJ53" s="44">
        <f t="shared" si="47"/>
        <v>0</v>
      </c>
      <c r="DK53" s="44">
        <f t="shared" si="47"/>
        <v>0</v>
      </c>
      <c r="DL53" s="44">
        <f t="shared" si="47"/>
        <v>0</v>
      </c>
      <c r="DM53" s="44">
        <f t="shared" si="47"/>
        <v>0</v>
      </c>
      <c r="DN53" s="44">
        <f t="shared" si="47"/>
        <v>0</v>
      </c>
      <c r="DO53" s="44">
        <f t="shared" si="47"/>
        <v>0</v>
      </c>
      <c r="DP53" s="44">
        <f t="shared" si="47"/>
        <v>0</v>
      </c>
      <c r="DQ53" s="44">
        <f t="shared" si="47"/>
        <v>0</v>
      </c>
      <c r="DR53" s="44">
        <f t="shared" si="47"/>
        <v>0</v>
      </c>
      <c r="DS53" s="44">
        <f t="shared" si="47"/>
        <v>0</v>
      </c>
      <c r="DT53" s="44">
        <f t="shared" si="47"/>
        <v>0</v>
      </c>
      <c r="DU53" s="44">
        <f t="shared" si="47"/>
        <v>0</v>
      </c>
      <c r="DV53" s="44">
        <f t="shared" si="48"/>
        <v>0</v>
      </c>
      <c r="DW53" s="44">
        <f t="shared" si="48"/>
        <v>40000000</v>
      </c>
      <c r="DX53" s="44">
        <f t="shared" si="48"/>
        <v>0</v>
      </c>
      <c r="DY53" s="44">
        <f t="shared" si="48"/>
        <v>0</v>
      </c>
      <c r="DZ53" s="44">
        <f t="shared" si="48"/>
        <v>0</v>
      </c>
      <c r="EA53" s="44">
        <f t="shared" si="48"/>
        <v>0</v>
      </c>
      <c r="EB53" s="44">
        <f t="shared" si="48"/>
        <v>0</v>
      </c>
      <c r="EE53" s="75">
        <f t="shared" si="29"/>
        <v>65000000</v>
      </c>
      <c r="EF53" s="75">
        <f t="shared" si="30"/>
        <v>13999998</v>
      </c>
    </row>
    <row r="54" spans="1:137" ht="46.5" hidden="1" customHeight="1" x14ac:dyDescent="0.25">
      <c r="A54" s="97"/>
      <c r="B54" s="186"/>
      <c r="C54" s="186" t="s">
        <v>179</v>
      </c>
      <c r="D54" s="186" t="s">
        <v>180</v>
      </c>
      <c r="E54" s="186">
        <v>520</v>
      </c>
      <c r="F54" s="187" t="s">
        <v>181</v>
      </c>
      <c r="G54" s="44">
        <f t="shared" si="39"/>
        <v>88408777</v>
      </c>
      <c r="H54" s="45">
        <v>345000000</v>
      </c>
      <c r="I54" s="45">
        <f t="shared" si="49"/>
        <v>256591223</v>
      </c>
      <c r="J54" s="44"/>
      <c r="K54" s="44">
        <f>20000000+10000000</f>
        <v>30000000</v>
      </c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>
        <f>20000000</f>
        <v>20000000</v>
      </c>
      <c r="AB54" s="44"/>
      <c r="AC54" s="44"/>
      <c r="AD54" s="44"/>
      <c r="AE54" s="44"/>
      <c r="AF54" s="44">
        <f>32208777+1000000-10800000+4000000-10800000+12000000+10800000</f>
        <v>38408777</v>
      </c>
      <c r="AG54" s="46">
        <f t="shared" si="1"/>
        <v>0.54563722785125734</v>
      </c>
      <c r="AH54" s="44">
        <f t="shared" si="40"/>
        <v>48239120</v>
      </c>
      <c r="AI54" s="44"/>
      <c r="AJ54" s="44">
        <f>+'[7]Acuerdo PLAN INVERSIÓN 2021'!$J$1434</f>
        <v>20000000</v>
      </c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>
        <f>+'[6]Acuerdo PLAN INVERSIÓN 2021'!$AF$3436</f>
        <v>28239120</v>
      </c>
      <c r="BF54" s="46">
        <f t="shared" si="12"/>
        <v>0.45436277214874266</v>
      </c>
      <c r="BG54" s="44">
        <f t="shared" si="41"/>
        <v>40169657</v>
      </c>
      <c r="BH54" s="44">
        <f t="shared" si="42"/>
        <v>0</v>
      </c>
      <c r="BI54" s="44">
        <f t="shared" si="42"/>
        <v>10000000</v>
      </c>
      <c r="BJ54" s="44">
        <f t="shared" si="42"/>
        <v>0</v>
      </c>
      <c r="BK54" s="44">
        <f t="shared" si="42"/>
        <v>0</v>
      </c>
      <c r="BL54" s="44">
        <f t="shared" si="42"/>
        <v>0</v>
      </c>
      <c r="BM54" s="44">
        <f t="shared" si="42"/>
        <v>0</v>
      </c>
      <c r="BN54" s="44">
        <f t="shared" si="42"/>
        <v>0</v>
      </c>
      <c r="BO54" s="44">
        <f t="shared" si="42"/>
        <v>0</v>
      </c>
      <c r="BP54" s="44">
        <f t="shared" si="42"/>
        <v>0</v>
      </c>
      <c r="BQ54" s="44">
        <f t="shared" si="42"/>
        <v>0</v>
      </c>
      <c r="BR54" s="44">
        <f t="shared" si="42"/>
        <v>0</v>
      </c>
      <c r="BS54" s="44">
        <f t="shared" si="42"/>
        <v>0</v>
      </c>
      <c r="BT54" s="44">
        <f t="shared" si="42"/>
        <v>0</v>
      </c>
      <c r="BU54" s="44">
        <f t="shared" si="42"/>
        <v>0</v>
      </c>
      <c r="BV54" s="44">
        <f t="shared" si="42"/>
        <v>0</v>
      </c>
      <c r="BW54" s="44">
        <f t="shared" si="42"/>
        <v>0</v>
      </c>
      <c r="BX54" s="44">
        <f t="shared" si="43"/>
        <v>0</v>
      </c>
      <c r="BY54" s="44">
        <f t="shared" si="43"/>
        <v>20000000</v>
      </c>
      <c r="BZ54" s="44">
        <f t="shared" si="43"/>
        <v>0</v>
      </c>
      <c r="CA54" s="44">
        <f t="shared" si="43"/>
        <v>0</v>
      </c>
      <c r="CB54" s="44">
        <f t="shared" si="43"/>
        <v>0</v>
      </c>
      <c r="CC54" s="44">
        <f t="shared" si="43"/>
        <v>0</v>
      </c>
      <c r="CD54" s="44">
        <f t="shared" si="43"/>
        <v>10169657</v>
      </c>
      <c r="CE54" s="46">
        <f t="shared" si="44"/>
        <v>0.36583208248656124</v>
      </c>
      <c r="CF54" s="44">
        <f>SUM(CG54:DC54)</f>
        <v>32342767</v>
      </c>
      <c r="CG54" s="44"/>
      <c r="CH54" s="44">
        <f>+'[5]Acuerdo PLAN INVERSIÓN 2021'!$H$4089+'[5]Acuerdo PLAN INVERSIÓN 2021'!$H$4092+'[5]Acuerdo PLAN INVERSIÓN 2021'!$H$4098</f>
        <v>16413400</v>
      </c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>
        <f>+'[5]Acuerdo PLAN INVERSIÓN 2021'!$H$4095+'[5]Acuerdo PLAN INVERSIÓN 2021'!$H$4114+'[5]Acuerdo PLAN INVERSIÓN 2021'!$H$4117+'[5]Acuerdo PLAN INVERSIÓN 2021'!$H$4120+'[5]Acuerdo PLAN INVERSIÓN 2021'!$H$4123+'[5]Acuerdo PLAN INVERSIÓN 2021'!$H$4126+'[5]Acuerdo PLAN INVERSIÓN 2021'!$H$4136+'[5]Acuerdo PLAN INVERSIÓN 2021'!$H$4145+'[5]Acuerdo PLAN INVERSIÓN 2021'!$H$4148+'[5]Acuerdo PLAN INVERSIÓN 2021'!$H$4151</f>
        <v>15929367</v>
      </c>
      <c r="DD54" s="46">
        <f t="shared" si="8"/>
        <v>0.63416791751343871</v>
      </c>
      <c r="DE54" s="44">
        <f t="shared" si="46"/>
        <v>56066010</v>
      </c>
      <c r="DF54" s="44">
        <f t="shared" si="47"/>
        <v>0</v>
      </c>
      <c r="DG54" s="44">
        <f t="shared" si="47"/>
        <v>13586600</v>
      </c>
      <c r="DH54" s="44">
        <f t="shared" si="47"/>
        <v>0</v>
      </c>
      <c r="DI54" s="44">
        <f t="shared" si="47"/>
        <v>0</v>
      </c>
      <c r="DJ54" s="44">
        <f t="shared" si="47"/>
        <v>0</v>
      </c>
      <c r="DK54" s="44">
        <f t="shared" si="47"/>
        <v>0</v>
      </c>
      <c r="DL54" s="44">
        <f t="shared" si="47"/>
        <v>0</v>
      </c>
      <c r="DM54" s="44">
        <f t="shared" si="47"/>
        <v>0</v>
      </c>
      <c r="DN54" s="44">
        <f t="shared" si="47"/>
        <v>0</v>
      </c>
      <c r="DO54" s="44">
        <f t="shared" si="47"/>
        <v>0</v>
      </c>
      <c r="DP54" s="44">
        <f t="shared" si="47"/>
        <v>0</v>
      </c>
      <c r="DQ54" s="44">
        <f t="shared" si="47"/>
        <v>0</v>
      </c>
      <c r="DR54" s="44">
        <f t="shared" si="47"/>
        <v>0</v>
      </c>
      <c r="DS54" s="44">
        <f t="shared" si="47"/>
        <v>0</v>
      </c>
      <c r="DT54" s="44">
        <f t="shared" si="47"/>
        <v>0</v>
      </c>
      <c r="DU54" s="44">
        <f t="shared" si="47"/>
        <v>0</v>
      </c>
      <c r="DV54" s="44">
        <f t="shared" si="48"/>
        <v>0</v>
      </c>
      <c r="DW54" s="44">
        <f t="shared" si="48"/>
        <v>20000000</v>
      </c>
      <c r="DX54" s="44">
        <f t="shared" si="48"/>
        <v>0</v>
      </c>
      <c r="DY54" s="44">
        <f t="shared" si="48"/>
        <v>0</v>
      </c>
      <c r="DZ54" s="44">
        <f t="shared" si="48"/>
        <v>0</v>
      </c>
      <c r="EA54" s="44">
        <f t="shared" si="48"/>
        <v>0</v>
      </c>
      <c r="EB54" s="44">
        <f t="shared" si="48"/>
        <v>22479410</v>
      </c>
      <c r="EE54" s="75">
        <f t="shared" si="29"/>
        <v>88408777</v>
      </c>
      <c r="EF54" s="75">
        <f t="shared" si="30"/>
        <v>32342767</v>
      </c>
    </row>
    <row r="55" spans="1:137" ht="34.5" hidden="1" customHeight="1" x14ac:dyDescent="0.25">
      <c r="A55" s="97"/>
      <c r="B55" s="186" t="s">
        <v>182</v>
      </c>
      <c r="C55" s="186" t="s">
        <v>183</v>
      </c>
      <c r="D55" s="186" t="s">
        <v>184</v>
      </c>
      <c r="E55" s="186">
        <v>520</v>
      </c>
      <c r="F55" s="187" t="s">
        <v>150</v>
      </c>
      <c r="G55" s="44">
        <f t="shared" si="39"/>
        <v>157113664</v>
      </c>
      <c r="H55" s="45">
        <f>381000000+25000000</f>
        <v>406000000</v>
      </c>
      <c r="I55" s="45">
        <f t="shared" si="49"/>
        <v>248886336</v>
      </c>
      <c r="J55" s="44"/>
      <c r="K55" s="44">
        <f>90000000+10000000</f>
        <v>100000000</v>
      </c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>
        <f>20000000</f>
        <v>20000000</v>
      </c>
      <c r="AB55" s="44">
        <f>15000000</f>
        <v>15000000</v>
      </c>
      <c r="AC55" s="44"/>
      <c r="AD55" s="44"/>
      <c r="AE55" s="44"/>
      <c r="AF55" s="44">
        <f>22113664</f>
        <v>22113664</v>
      </c>
      <c r="AG55" s="46">
        <f t="shared" si="1"/>
        <v>0.99442017341025157</v>
      </c>
      <c r="AH55" s="44">
        <f t="shared" si="40"/>
        <v>156236997</v>
      </c>
      <c r="AI55" s="44"/>
      <c r="AJ55" s="44">
        <f>+'[4]Acuerdo PLAN INVERSIÓN 2021'!$J$1694</f>
        <v>100000000</v>
      </c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>
        <f>+'[4]Acuerdo PLAN INVERSIÓN 2021'!$X$1694</f>
        <v>19123333</v>
      </c>
      <c r="BA55" s="44">
        <f>+'[1]Acuerdo PLAN INVERSIÓN 2021'!$Y$2861</f>
        <v>15000000</v>
      </c>
      <c r="BB55" s="44"/>
      <c r="BC55" s="44"/>
      <c r="BD55" s="44"/>
      <c r="BE55" s="44">
        <f>+'[1]Acuerdo PLAN INVERSIÓN 2021'!$AF$2861</f>
        <v>22113664</v>
      </c>
      <c r="BF55" s="46">
        <f t="shared" si="12"/>
        <v>5.5798265897484267E-3</v>
      </c>
      <c r="BG55" s="44">
        <f t="shared" si="41"/>
        <v>876667</v>
      </c>
      <c r="BH55" s="44">
        <f t="shared" si="42"/>
        <v>0</v>
      </c>
      <c r="BI55" s="44">
        <f t="shared" si="42"/>
        <v>0</v>
      </c>
      <c r="BJ55" s="44">
        <f t="shared" si="42"/>
        <v>0</v>
      </c>
      <c r="BK55" s="44">
        <f t="shared" si="42"/>
        <v>0</v>
      </c>
      <c r="BL55" s="44">
        <f t="shared" si="42"/>
        <v>0</v>
      </c>
      <c r="BM55" s="44">
        <f t="shared" si="42"/>
        <v>0</v>
      </c>
      <c r="BN55" s="44">
        <f t="shared" si="42"/>
        <v>0</v>
      </c>
      <c r="BO55" s="44">
        <f t="shared" si="42"/>
        <v>0</v>
      </c>
      <c r="BP55" s="44">
        <f t="shared" si="42"/>
        <v>0</v>
      </c>
      <c r="BQ55" s="44">
        <f t="shared" si="42"/>
        <v>0</v>
      </c>
      <c r="BR55" s="44">
        <f t="shared" si="42"/>
        <v>0</v>
      </c>
      <c r="BS55" s="44">
        <f t="shared" si="42"/>
        <v>0</v>
      </c>
      <c r="BT55" s="44">
        <f t="shared" si="42"/>
        <v>0</v>
      </c>
      <c r="BU55" s="44">
        <f t="shared" si="42"/>
        <v>0</v>
      </c>
      <c r="BV55" s="44">
        <f t="shared" si="42"/>
        <v>0</v>
      </c>
      <c r="BW55" s="44">
        <f t="shared" si="42"/>
        <v>0</v>
      </c>
      <c r="BX55" s="44">
        <f t="shared" si="43"/>
        <v>0</v>
      </c>
      <c r="BY55" s="44">
        <f t="shared" si="43"/>
        <v>876667</v>
      </c>
      <c r="BZ55" s="44">
        <f t="shared" si="43"/>
        <v>0</v>
      </c>
      <c r="CA55" s="44">
        <f t="shared" si="43"/>
        <v>0</v>
      </c>
      <c r="CB55" s="44">
        <f t="shared" si="43"/>
        <v>0</v>
      </c>
      <c r="CC55" s="44">
        <f t="shared" si="43"/>
        <v>0</v>
      </c>
      <c r="CD55" s="44">
        <f t="shared" si="43"/>
        <v>0</v>
      </c>
      <c r="CE55" s="46">
        <f t="shared" si="44"/>
        <v>0.9302861971317784</v>
      </c>
      <c r="CF55" s="44">
        <f t="shared" si="45"/>
        <v>146160673</v>
      </c>
      <c r="CG55" s="44"/>
      <c r="CH55" s="44">
        <f>+'[5]Acuerdo PLAN INVERSIÓN 2021'!$H$4158+'[5]Acuerdo PLAN INVERSIÓN 2021'!$H$4161+'[5]Acuerdo PLAN INVERSIÓN 2021'!$H$4168+'[5]Acuerdo PLAN INVERSIÓN 2021'!$H$4179+'[5]Acuerdo PLAN INVERSIÓN 2021'!$H$4190+'[5]Acuerdo PLAN INVERSIÓN 2021'!$H$4201</f>
        <v>98787344</v>
      </c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>
        <f>+'[5]Acuerdo PLAN INVERSIÓN 2021'!$H$4206</f>
        <v>19123330</v>
      </c>
      <c r="CY55" s="44">
        <f>+'[5]Acuerdo PLAN INVERSIÓN 2021'!$H$4215</f>
        <v>6599999</v>
      </c>
      <c r="CZ55" s="44"/>
      <c r="DA55" s="44"/>
      <c r="DB55" s="44"/>
      <c r="DC55" s="44">
        <f>+'[5]Acuerdo PLAN INVERSIÓN 2021'!$H$4212</f>
        <v>21650000</v>
      </c>
      <c r="DD55" s="46">
        <f t="shared" si="8"/>
        <v>6.9713802868221597E-2</v>
      </c>
      <c r="DE55" s="44">
        <f t="shared" si="46"/>
        <v>10952991</v>
      </c>
      <c r="DF55" s="44">
        <f t="shared" si="47"/>
        <v>0</v>
      </c>
      <c r="DG55" s="44">
        <f t="shared" si="47"/>
        <v>1212656</v>
      </c>
      <c r="DH55" s="44">
        <f t="shared" si="47"/>
        <v>0</v>
      </c>
      <c r="DI55" s="44">
        <f t="shared" si="47"/>
        <v>0</v>
      </c>
      <c r="DJ55" s="44">
        <f t="shared" si="47"/>
        <v>0</v>
      </c>
      <c r="DK55" s="44">
        <f t="shared" si="47"/>
        <v>0</v>
      </c>
      <c r="DL55" s="44">
        <f t="shared" si="47"/>
        <v>0</v>
      </c>
      <c r="DM55" s="44">
        <f t="shared" si="47"/>
        <v>0</v>
      </c>
      <c r="DN55" s="44">
        <f t="shared" si="47"/>
        <v>0</v>
      </c>
      <c r="DO55" s="44">
        <f t="shared" si="47"/>
        <v>0</v>
      </c>
      <c r="DP55" s="44">
        <f t="shared" si="47"/>
        <v>0</v>
      </c>
      <c r="DQ55" s="44">
        <f t="shared" si="47"/>
        <v>0</v>
      </c>
      <c r="DR55" s="44">
        <f t="shared" si="47"/>
        <v>0</v>
      </c>
      <c r="DS55" s="44">
        <f t="shared" si="47"/>
        <v>0</v>
      </c>
      <c r="DT55" s="44">
        <f t="shared" si="47"/>
        <v>0</v>
      </c>
      <c r="DU55" s="44">
        <f t="shared" si="47"/>
        <v>0</v>
      </c>
      <c r="DV55" s="44">
        <f t="shared" si="48"/>
        <v>0</v>
      </c>
      <c r="DW55" s="44">
        <f t="shared" si="48"/>
        <v>876670</v>
      </c>
      <c r="DX55" s="44">
        <f t="shared" si="48"/>
        <v>8400001</v>
      </c>
      <c r="DY55" s="44">
        <f t="shared" si="48"/>
        <v>0</v>
      </c>
      <c r="DZ55" s="44">
        <f t="shared" si="48"/>
        <v>0</v>
      </c>
      <c r="EA55" s="44">
        <f t="shared" si="48"/>
        <v>0</v>
      </c>
      <c r="EB55" s="44">
        <f t="shared" si="48"/>
        <v>463664</v>
      </c>
      <c r="EE55" s="75">
        <f t="shared" si="29"/>
        <v>157113664</v>
      </c>
      <c r="EF55" s="75">
        <f t="shared" si="30"/>
        <v>146160673</v>
      </c>
    </row>
    <row r="56" spans="1:137" ht="23.25" hidden="1" customHeight="1" x14ac:dyDescent="0.25">
      <c r="A56" s="97"/>
      <c r="B56" s="186"/>
      <c r="C56" s="186" t="s">
        <v>185</v>
      </c>
      <c r="D56" s="186" t="s">
        <v>186</v>
      </c>
      <c r="E56" s="186">
        <v>520</v>
      </c>
      <c r="F56" s="187" t="s">
        <v>102</v>
      </c>
      <c r="G56" s="44">
        <f t="shared" si="39"/>
        <v>78500000</v>
      </c>
      <c r="H56" s="45">
        <v>144500000</v>
      </c>
      <c r="I56" s="45">
        <f t="shared" si="49"/>
        <v>66000000</v>
      </c>
      <c r="J56" s="44"/>
      <c r="K56" s="44">
        <f>30000000+20000000</f>
        <v>50000000</v>
      </c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>
        <f>20000000</f>
        <v>20000000</v>
      </c>
      <c r="AB56" s="44">
        <f>8500000</f>
        <v>8500000</v>
      </c>
      <c r="AC56" s="44"/>
      <c r="AD56" s="44"/>
      <c r="AE56" s="44"/>
      <c r="AF56" s="44"/>
      <c r="AG56" s="46">
        <f t="shared" si="1"/>
        <v>0.9448786114649681</v>
      </c>
      <c r="AH56" s="44">
        <f t="shared" si="40"/>
        <v>74172971</v>
      </c>
      <c r="AI56" s="44"/>
      <c r="AJ56" s="44">
        <f>+'[4]Acuerdo PLAN INVERSIÓN 2021'!$J$1729</f>
        <v>50000000</v>
      </c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>
        <f>+'[3]Acuerdo PLAN INVERSIÓN 2021'!$X$2108</f>
        <v>15672971</v>
      </c>
      <c r="BA56" s="44">
        <f>+'[1]Acuerdo PLAN INVERSIÓN 2021'!$Y$2922</f>
        <v>8500000</v>
      </c>
      <c r="BB56" s="44"/>
      <c r="BC56" s="44"/>
      <c r="BD56" s="44"/>
      <c r="BE56" s="44"/>
      <c r="BF56" s="46">
        <f t="shared" si="12"/>
        <v>5.5121388535031901E-2</v>
      </c>
      <c r="BG56" s="44">
        <f t="shared" si="41"/>
        <v>4327029</v>
      </c>
      <c r="BH56" s="44">
        <f t="shared" si="42"/>
        <v>0</v>
      </c>
      <c r="BI56" s="44">
        <f t="shared" si="42"/>
        <v>0</v>
      </c>
      <c r="BJ56" s="44">
        <f t="shared" si="42"/>
        <v>0</v>
      </c>
      <c r="BK56" s="44">
        <f t="shared" si="42"/>
        <v>0</v>
      </c>
      <c r="BL56" s="44">
        <f t="shared" si="42"/>
        <v>0</v>
      </c>
      <c r="BM56" s="44">
        <f t="shared" si="42"/>
        <v>0</v>
      </c>
      <c r="BN56" s="44">
        <f t="shared" si="42"/>
        <v>0</v>
      </c>
      <c r="BO56" s="44">
        <f t="shared" si="42"/>
        <v>0</v>
      </c>
      <c r="BP56" s="44">
        <f t="shared" si="42"/>
        <v>0</v>
      </c>
      <c r="BQ56" s="44">
        <f t="shared" si="42"/>
        <v>0</v>
      </c>
      <c r="BR56" s="44">
        <f t="shared" si="42"/>
        <v>0</v>
      </c>
      <c r="BS56" s="44">
        <f t="shared" si="42"/>
        <v>0</v>
      </c>
      <c r="BT56" s="44">
        <f t="shared" si="42"/>
        <v>0</v>
      </c>
      <c r="BU56" s="44">
        <f t="shared" si="42"/>
        <v>0</v>
      </c>
      <c r="BV56" s="44">
        <f t="shared" si="42"/>
        <v>0</v>
      </c>
      <c r="BW56" s="44">
        <f t="shared" si="42"/>
        <v>0</v>
      </c>
      <c r="BX56" s="44">
        <f t="shared" si="43"/>
        <v>0</v>
      </c>
      <c r="BY56" s="44">
        <f t="shared" si="43"/>
        <v>4327029</v>
      </c>
      <c r="BZ56" s="44">
        <f t="shared" si="43"/>
        <v>0</v>
      </c>
      <c r="CA56" s="44">
        <f t="shared" si="43"/>
        <v>0</v>
      </c>
      <c r="CB56" s="44">
        <f t="shared" si="43"/>
        <v>0</v>
      </c>
      <c r="CC56" s="44">
        <f t="shared" si="43"/>
        <v>0</v>
      </c>
      <c r="CD56" s="44">
        <f t="shared" si="43"/>
        <v>0</v>
      </c>
      <c r="CE56" s="46">
        <f t="shared" si="44"/>
        <v>0.89592312101910832</v>
      </c>
      <c r="CF56" s="44">
        <f t="shared" si="45"/>
        <v>70329965</v>
      </c>
      <c r="CG56" s="44"/>
      <c r="CH56" s="44">
        <f>+'[4]Acuerdo PLAN INVERSIÓN 2021'!$H$1730+'[4]Acuerdo PLAN INVERSIÓN 2021'!$H$1735+'[4]Acuerdo PLAN INVERSIÓN 2021'!$H$1742</f>
        <v>49999994</v>
      </c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>
        <f>+'[6]Acuerdo PLAN INVERSIÓN 2021'!$H$3561</f>
        <v>15399971</v>
      </c>
      <c r="CY56" s="44">
        <f>+'[6]Acuerdo PLAN INVERSIÓN 2021'!$H$3571</f>
        <v>4930000</v>
      </c>
      <c r="CZ56" s="44"/>
      <c r="DA56" s="44"/>
      <c r="DB56" s="44"/>
      <c r="DC56" s="44"/>
      <c r="DD56" s="46">
        <f t="shared" si="8"/>
        <v>0.10407687898089168</v>
      </c>
      <c r="DE56" s="44">
        <f t="shared" si="46"/>
        <v>8170035</v>
      </c>
      <c r="DF56" s="44">
        <f t="shared" si="47"/>
        <v>0</v>
      </c>
      <c r="DG56" s="44">
        <f t="shared" si="47"/>
        <v>6</v>
      </c>
      <c r="DH56" s="44">
        <f t="shared" si="47"/>
        <v>0</v>
      </c>
      <c r="DI56" s="44">
        <f t="shared" si="47"/>
        <v>0</v>
      </c>
      <c r="DJ56" s="44">
        <f t="shared" si="47"/>
        <v>0</v>
      </c>
      <c r="DK56" s="44">
        <f t="shared" si="47"/>
        <v>0</v>
      </c>
      <c r="DL56" s="44">
        <f t="shared" si="47"/>
        <v>0</v>
      </c>
      <c r="DM56" s="44">
        <f t="shared" si="47"/>
        <v>0</v>
      </c>
      <c r="DN56" s="44">
        <f t="shared" si="47"/>
        <v>0</v>
      </c>
      <c r="DO56" s="44">
        <f t="shared" si="47"/>
        <v>0</v>
      </c>
      <c r="DP56" s="44">
        <f t="shared" si="47"/>
        <v>0</v>
      </c>
      <c r="DQ56" s="44">
        <f t="shared" si="47"/>
        <v>0</v>
      </c>
      <c r="DR56" s="44">
        <f t="shared" si="47"/>
        <v>0</v>
      </c>
      <c r="DS56" s="44">
        <f t="shared" si="47"/>
        <v>0</v>
      </c>
      <c r="DT56" s="44">
        <f t="shared" si="47"/>
        <v>0</v>
      </c>
      <c r="DU56" s="44">
        <f t="shared" si="47"/>
        <v>0</v>
      </c>
      <c r="DV56" s="44">
        <f t="shared" si="48"/>
        <v>0</v>
      </c>
      <c r="DW56" s="44">
        <f t="shared" si="48"/>
        <v>4600029</v>
      </c>
      <c r="DX56" s="44">
        <f t="shared" si="48"/>
        <v>3570000</v>
      </c>
      <c r="DY56" s="44">
        <f t="shared" si="48"/>
        <v>0</v>
      </c>
      <c r="DZ56" s="44">
        <f t="shared" si="48"/>
        <v>0</v>
      </c>
      <c r="EA56" s="44">
        <f t="shared" si="48"/>
        <v>0</v>
      </c>
      <c r="EB56" s="44">
        <f t="shared" si="48"/>
        <v>0</v>
      </c>
      <c r="EE56" s="75">
        <f t="shared" si="29"/>
        <v>78500000</v>
      </c>
      <c r="EF56" s="75">
        <f t="shared" si="30"/>
        <v>70329965</v>
      </c>
    </row>
    <row r="57" spans="1:137" ht="42.75" hidden="1" customHeight="1" x14ac:dyDescent="0.25">
      <c r="A57" s="97"/>
      <c r="B57" s="186"/>
      <c r="C57" s="186" t="s">
        <v>187</v>
      </c>
      <c r="D57" s="186" t="s">
        <v>188</v>
      </c>
      <c r="E57" s="186">
        <v>520</v>
      </c>
      <c r="F57" s="187" t="s">
        <v>102</v>
      </c>
      <c r="G57" s="44">
        <f t="shared" si="39"/>
        <v>25222055</v>
      </c>
      <c r="H57" s="45">
        <v>120606750</v>
      </c>
      <c r="I57" s="45">
        <f t="shared" si="49"/>
        <v>95384695</v>
      </c>
      <c r="J57" s="44"/>
      <c r="K57" s="44">
        <f>30000000-4777945</f>
        <v>25222055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6">
        <f t="shared" si="1"/>
        <v>1</v>
      </c>
      <c r="AH57" s="44">
        <f t="shared" si="40"/>
        <v>25222055</v>
      </c>
      <c r="AI57" s="44"/>
      <c r="AJ57" s="44">
        <f>+'[4]Acuerdo PLAN INVERSIÓN 2021'!$J$1749</f>
        <v>25222055</v>
      </c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6">
        <f t="shared" si="12"/>
        <v>0</v>
      </c>
      <c r="BG57" s="44">
        <f t="shared" si="41"/>
        <v>0</v>
      </c>
      <c r="BH57" s="44">
        <f t="shared" si="42"/>
        <v>0</v>
      </c>
      <c r="BI57" s="44">
        <f t="shared" si="42"/>
        <v>0</v>
      </c>
      <c r="BJ57" s="44">
        <f t="shared" si="42"/>
        <v>0</v>
      </c>
      <c r="BK57" s="44">
        <f t="shared" si="42"/>
        <v>0</v>
      </c>
      <c r="BL57" s="44">
        <f t="shared" si="42"/>
        <v>0</v>
      </c>
      <c r="BM57" s="44">
        <f t="shared" si="42"/>
        <v>0</v>
      </c>
      <c r="BN57" s="44">
        <f t="shared" si="42"/>
        <v>0</v>
      </c>
      <c r="BO57" s="44">
        <f t="shared" si="42"/>
        <v>0</v>
      </c>
      <c r="BP57" s="44">
        <f t="shared" si="42"/>
        <v>0</v>
      </c>
      <c r="BQ57" s="44">
        <f t="shared" si="42"/>
        <v>0</v>
      </c>
      <c r="BR57" s="44">
        <f t="shared" si="42"/>
        <v>0</v>
      </c>
      <c r="BS57" s="44">
        <f t="shared" si="42"/>
        <v>0</v>
      </c>
      <c r="BT57" s="44">
        <f t="shared" si="42"/>
        <v>0</v>
      </c>
      <c r="BU57" s="44">
        <f t="shared" si="42"/>
        <v>0</v>
      </c>
      <c r="BV57" s="44">
        <f t="shared" si="42"/>
        <v>0</v>
      </c>
      <c r="BW57" s="44">
        <f t="shared" si="42"/>
        <v>0</v>
      </c>
      <c r="BX57" s="44">
        <f t="shared" si="43"/>
        <v>0</v>
      </c>
      <c r="BY57" s="44">
        <f t="shared" si="43"/>
        <v>0</v>
      </c>
      <c r="BZ57" s="44">
        <f t="shared" si="43"/>
        <v>0</v>
      </c>
      <c r="CA57" s="44">
        <f t="shared" si="43"/>
        <v>0</v>
      </c>
      <c r="CB57" s="44">
        <f t="shared" si="43"/>
        <v>0</v>
      </c>
      <c r="CC57" s="44">
        <f t="shared" si="43"/>
        <v>0</v>
      </c>
      <c r="CD57" s="44">
        <f t="shared" si="43"/>
        <v>0</v>
      </c>
      <c r="CE57" s="46">
        <f t="shared" si="44"/>
        <v>0.99712097210159922</v>
      </c>
      <c r="CF57" s="44">
        <f t="shared" si="45"/>
        <v>25149440</v>
      </c>
      <c r="CG57" s="44"/>
      <c r="CH57" s="44">
        <f>+'[3]Acuerdo PLAN INVERSIÓN 2021'!$H$2129+'[3]Acuerdo PLAN INVERSIÓN 2021'!$H$2132</f>
        <v>25149440</v>
      </c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6">
        <f t="shared" si="8"/>
        <v>2.8790278984007767E-3</v>
      </c>
      <c r="DE57" s="44">
        <f t="shared" si="46"/>
        <v>72615</v>
      </c>
      <c r="DF57" s="44">
        <f t="shared" si="47"/>
        <v>0</v>
      </c>
      <c r="DG57" s="44">
        <f t="shared" si="47"/>
        <v>72615</v>
      </c>
      <c r="DH57" s="44">
        <f t="shared" si="47"/>
        <v>0</v>
      </c>
      <c r="DI57" s="44">
        <f t="shared" si="47"/>
        <v>0</v>
      </c>
      <c r="DJ57" s="44">
        <f t="shared" si="47"/>
        <v>0</v>
      </c>
      <c r="DK57" s="44">
        <f t="shared" si="47"/>
        <v>0</v>
      </c>
      <c r="DL57" s="44">
        <f t="shared" si="47"/>
        <v>0</v>
      </c>
      <c r="DM57" s="44">
        <f t="shared" si="47"/>
        <v>0</v>
      </c>
      <c r="DN57" s="44">
        <f t="shared" si="47"/>
        <v>0</v>
      </c>
      <c r="DO57" s="44">
        <f t="shared" si="47"/>
        <v>0</v>
      </c>
      <c r="DP57" s="44">
        <f t="shared" si="47"/>
        <v>0</v>
      </c>
      <c r="DQ57" s="44">
        <f t="shared" si="47"/>
        <v>0</v>
      </c>
      <c r="DR57" s="44">
        <f t="shared" si="47"/>
        <v>0</v>
      </c>
      <c r="DS57" s="44">
        <f t="shared" si="47"/>
        <v>0</v>
      </c>
      <c r="DT57" s="44">
        <f t="shared" si="47"/>
        <v>0</v>
      </c>
      <c r="DU57" s="44">
        <f t="shared" si="47"/>
        <v>0</v>
      </c>
      <c r="DV57" s="44">
        <f t="shared" si="48"/>
        <v>0</v>
      </c>
      <c r="DW57" s="44">
        <f t="shared" si="48"/>
        <v>0</v>
      </c>
      <c r="DX57" s="44">
        <f t="shared" si="48"/>
        <v>0</v>
      </c>
      <c r="DY57" s="44">
        <f t="shared" si="48"/>
        <v>0</v>
      </c>
      <c r="DZ57" s="44">
        <f t="shared" si="48"/>
        <v>0</v>
      </c>
      <c r="EA57" s="44">
        <f t="shared" si="48"/>
        <v>0</v>
      </c>
      <c r="EB57" s="44">
        <f t="shared" si="48"/>
        <v>0</v>
      </c>
      <c r="EE57" s="75">
        <f t="shared" si="29"/>
        <v>25222055</v>
      </c>
      <c r="EF57" s="75">
        <f t="shared" si="30"/>
        <v>25149440</v>
      </c>
    </row>
    <row r="58" spans="1:137" ht="35.450000000000003" hidden="1" customHeight="1" x14ac:dyDescent="0.25">
      <c r="A58" s="97"/>
      <c r="B58" s="186"/>
      <c r="C58" s="186" t="s">
        <v>189</v>
      </c>
      <c r="D58" s="186" t="s">
        <v>190</v>
      </c>
      <c r="E58" s="186">
        <v>520</v>
      </c>
      <c r="F58" s="187" t="s">
        <v>102</v>
      </c>
      <c r="G58" s="44">
        <f t="shared" si="39"/>
        <v>45000000</v>
      </c>
      <c r="H58" s="45">
        <v>57321000</v>
      </c>
      <c r="I58" s="45">
        <f t="shared" si="49"/>
        <v>12321000</v>
      </c>
      <c r="J58" s="44"/>
      <c r="K58" s="44">
        <f>20000000+15000000</f>
        <v>35000000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>
        <f>10000000</f>
        <v>10000000</v>
      </c>
      <c r="AB58" s="44"/>
      <c r="AC58" s="44"/>
      <c r="AD58" s="44"/>
      <c r="AE58" s="44"/>
      <c r="AF58" s="44"/>
      <c r="AG58" s="46">
        <f t="shared" si="1"/>
        <v>0.97870000000000001</v>
      </c>
      <c r="AH58" s="44">
        <f t="shared" si="40"/>
        <v>44041500</v>
      </c>
      <c r="AI58" s="44"/>
      <c r="AJ58" s="44">
        <f>+'[4]Acuerdo PLAN INVERSIÓN 2021'!$J$1757</f>
        <v>34041500</v>
      </c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>
        <f>+'[4]Acuerdo PLAN INVERSIÓN 2021'!$X$1757</f>
        <v>10000000</v>
      </c>
      <c r="BA58" s="44"/>
      <c r="BB58" s="44"/>
      <c r="BC58" s="44"/>
      <c r="BD58" s="44"/>
      <c r="BE58" s="44"/>
      <c r="BF58" s="46">
        <f t="shared" si="12"/>
        <v>2.1299999999999986E-2</v>
      </c>
      <c r="BG58" s="44">
        <f t="shared" si="41"/>
        <v>958500</v>
      </c>
      <c r="BH58" s="44">
        <f t="shared" si="42"/>
        <v>0</v>
      </c>
      <c r="BI58" s="44">
        <f t="shared" si="42"/>
        <v>958500</v>
      </c>
      <c r="BJ58" s="44">
        <f t="shared" si="42"/>
        <v>0</v>
      </c>
      <c r="BK58" s="44">
        <f t="shared" si="42"/>
        <v>0</v>
      </c>
      <c r="BL58" s="44">
        <f t="shared" si="42"/>
        <v>0</v>
      </c>
      <c r="BM58" s="44">
        <f t="shared" si="42"/>
        <v>0</v>
      </c>
      <c r="BN58" s="44">
        <f t="shared" si="42"/>
        <v>0</v>
      </c>
      <c r="BO58" s="44">
        <f t="shared" si="42"/>
        <v>0</v>
      </c>
      <c r="BP58" s="44">
        <f t="shared" si="42"/>
        <v>0</v>
      </c>
      <c r="BQ58" s="44">
        <f t="shared" si="42"/>
        <v>0</v>
      </c>
      <c r="BR58" s="44">
        <f t="shared" si="42"/>
        <v>0</v>
      </c>
      <c r="BS58" s="44">
        <f t="shared" si="42"/>
        <v>0</v>
      </c>
      <c r="BT58" s="44">
        <f t="shared" si="42"/>
        <v>0</v>
      </c>
      <c r="BU58" s="44">
        <f t="shared" si="42"/>
        <v>0</v>
      </c>
      <c r="BV58" s="44">
        <f t="shared" si="42"/>
        <v>0</v>
      </c>
      <c r="BW58" s="44">
        <f t="shared" si="42"/>
        <v>0</v>
      </c>
      <c r="BX58" s="44">
        <f t="shared" si="43"/>
        <v>0</v>
      </c>
      <c r="BY58" s="44">
        <f t="shared" si="43"/>
        <v>0</v>
      </c>
      <c r="BZ58" s="44">
        <f t="shared" si="43"/>
        <v>0</v>
      </c>
      <c r="CA58" s="44">
        <f t="shared" si="43"/>
        <v>0</v>
      </c>
      <c r="CB58" s="44">
        <f t="shared" si="43"/>
        <v>0</v>
      </c>
      <c r="CC58" s="44">
        <f t="shared" si="43"/>
        <v>0</v>
      </c>
      <c r="CD58" s="44">
        <f t="shared" si="43"/>
        <v>0</v>
      </c>
      <c r="CE58" s="46">
        <f t="shared" si="44"/>
        <v>0.97834746666666672</v>
      </c>
      <c r="CF58" s="44">
        <f t="shared" si="45"/>
        <v>44025636</v>
      </c>
      <c r="CG58" s="44"/>
      <c r="CH58" s="44">
        <f>+'[3]Acuerdo PLAN INVERSIÓN 2021'!$H$2139+'[3]Acuerdo PLAN INVERSIÓN 2021'!$H$2148+'[3]Acuerdo PLAN INVERSIÓN 2021'!$H$2151+'[3]Acuerdo PLAN INVERSIÓN 2021'!$H$2157</f>
        <v>34030584</v>
      </c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>
        <f>+'[3]Acuerdo PLAN INVERSIÓN 2021'!$H$2154</f>
        <v>9995052</v>
      </c>
      <c r="CY58" s="44"/>
      <c r="CZ58" s="44"/>
      <c r="DA58" s="44"/>
      <c r="DB58" s="44"/>
      <c r="DC58" s="44"/>
      <c r="DD58" s="46">
        <f t="shared" si="8"/>
        <v>2.1652533333333279E-2</v>
      </c>
      <c r="DE58" s="44">
        <f t="shared" si="46"/>
        <v>974364</v>
      </c>
      <c r="DF58" s="44">
        <f t="shared" si="47"/>
        <v>0</v>
      </c>
      <c r="DG58" s="44">
        <f t="shared" si="47"/>
        <v>969416</v>
      </c>
      <c r="DH58" s="44">
        <f t="shared" si="47"/>
        <v>0</v>
      </c>
      <c r="DI58" s="44">
        <f t="shared" si="47"/>
        <v>0</v>
      </c>
      <c r="DJ58" s="44">
        <f t="shared" si="47"/>
        <v>0</v>
      </c>
      <c r="DK58" s="44">
        <f t="shared" si="47"/>
        <v>0</v>
      </c>
      <c r="DL58" s="44">
        <f t="shared" si="47"/>
        <v>0</v>
      </c>
      <c r="DM58" s="44">
        <f t="shared" si="47"/>
        <v>0</v>
      </c>
      <c r="DN58" s="44">
        <f t="shared" si="47"/>
        <v>0</v>
      </c>
      <c r="DO58" s="44">
        <f t="shared" si="47"/>
        <v>0</v>
      </c>
      <c r="DP58" s="44">
        <f t="shared" si="47"/>
        <v>0</v>
      </c>
      <c r="DQ58" s="44">
        <f t="shared" si="47"/>
        <v>0</v>
      </c>
      <c r="DR58" s="44">
        <f t="shared" si="47"/>
        <v>0</v>
      </c>
      <c r="DS58" s="44">
        <f t="shared" si="47"/>
        <v>0</v>
      </c>
      <c r="DT58" s="44">
        <f t="shared" si="47"/>
        <v>0</v>
      </c>
      <c r="DU58" s="44">
        <f t="shared" si="47"/>
        <v>0</v>
      </c>
      <c r="DV58" s="44">
        <f t="shared" si="48"/>
        <v>0</v>
      </c>
      <c r="DW58" s="44">
        <f t="shared" si="48"/>
        <v>4948</v>
      </c>
      <c r="DX58" s="44">
        <f t="shared" si="48"/>
        <v>0</v>
      </c>
      <c r="DY58" s="44">
        <f t="shared" si="48"/>
        <v>0</v>
      </c>
      <c r="DZ58" s="44">
        <f t="shared" si="48"/>
        <v>0</v>
      </c>
      <c r="EA58" s="44">
        <f t="shared" si="48"/>
        <v>0</v>
      </c>
      <c r="EB58" s="44">
        <f t="shared" si="48"/>
        <v>0</v>
      </c>
      <c r="EE58" s="75">
        <f t="shared" si="29"/>
        <v>45000000</v>
      </c>
      <c r="EF58" s="75">
        <f t="shared" si="30"/>
        <v>44025636</v>
      </c>
    </row>
    <row r="59" spans="1:137" ht="59.25" hidden="1" customHeight="1" x14ac:dyDescent="0.25">
      <c r="A59" s="97"/>
      <c r="B59" s="186"/>
      <c r="C59" s="186" t="s">
        <v>191</v>
      </c>
      <c r="D59" s="186" t="s">
        <v>192</v>
      </c>
      <c r="E59" s="186">
        <v>520</v>
      </c>
      <c r="F59" s="187" t="s">
        <v>102</v>
      </c>
      <c r="G59" s="44">
        <f t="shared" si="39"/>
        <v>14041500</v>
      </c>
      <c r="H59" s="45">
        <v>108432000</v>
      </c>
      <c r="I59" s="45">
        <f t="shared" si="49"/>
        <v>94390500</v>
      </c>
      <c r="J59" s="44"/>
      <c r="K59" s="44">
        <f>20000000-5958500</f>
        <v>14041500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6">
        <f t="shared" si="1"/>
        <v>1</v>
      </c>
      <c r="AH59" s="44">
        <f t="shared" si="40"/>
        <v>14041500</v>
      </c>
      <c r="AI59" s="44"/>
      <c r="AJ59" s="44">
        <f>+'[10]Acuerdo PLAN INVERSIÓN 2021'!$J$547</f>
        <v>14041500</v>
      </c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6">
        <f t="shared" si="12"/>
        <v>0</v>
      </c>
      <c r="BG59" s="44">
        <f t="shared" si="41"/>
        <v>0</v>
      </c>
      <c r="BH59" s="44">
        <f t="shared" si="42"/>
        <v>0</v>
      </c>
      <c r="BI59" s="44">
        <f t="shared" si="42"/>
        <v>0</v>
      </c>
      <c r="BJ59" s="44">
        <f t="shared" si="42"/>
        <v>0</v>
      </c>
      <c r="BK59" s="44">
        <f t="shared" si="42"/>
        <v>0</v>
      </c>
      <c r="BL59" s="44">
        <f t="shared" si="42"/>
        <v>0</v>
      </c>
      <c r="BM59" s="44">
        <f t="shared" si="42"/>
        <v>0</v>
      </c>
      <c r="BN59" s="44">
        <f t="shared" si="42"/>
        <v>0</v>
      </c>
      <c r="BO59" s="44">
        <f t="shared" si="42"/>
        <v>0</v>
      </c>
      <c r="BP59" s="44">
        <f t="shared" si="42"/>
        <v>0</v>
      </c>
      <c r="BQ59" s="44">
        <f t="shared" si="42"/>
        <v>0</v>
      </c>
      <c r="BR59" s="44">
        <f t="shared" si="42"/>
        <v>0</v>
      </c>
      <c r="BS59" s="44">
        <f t="shared" si="42"/>
        <v>0</v>
      </c>
      <c r="BT59" s="44">
        <f t="shared" si="42"/>
        <v>0</v>
      </c>
      <c r="BU59" s="44">
        <f t="shared" si="42"/>
        <v>0</v>
      </c>
      <c r="BV59" s="44">
        <f t="shared" si="42"/>
        <v>0</v>
      </c>
      <c r="BW59" s="44">
        <f t="shared" si="42"/>
        <v>0</v>
      </c>
      <c r="BX59" s="44">
        <f t="shared" si="43"/>
        <v>0</v>
      </c>
      <c r="BY59" s="44">
        <f t="shared" si="43"/>
        <v>0</v>
      </c>
      <c r="BZ59" s="44">
        <f t="shared" si="43"/>
        <v>0</v>
      </c>
      <c r="CA59" s="44">
        <f t="shared" si="43"/>
        <v>0</v>
      </c>
      <c r="CB59" s="44">
        <f t="shared" si="43"/>
        <v>0</v>
      </c>
      <c r="CC59" s="44">
        <f t="shared" si="43"/>
        <v>0</v>
      </c>
      <c r="CD59" s="44">
        <f t="shared" si="43"/>
        <v>0</v>
      </c>
      <c r="CE59" s="46">
        <f t="shared" si="44"/>
        <v>0.99999992878253752</v>
      </c>
      <c r="CF59" s="44">
        <f t="shared" si="45"/>
        <v>14041499</v>
      </c>
      <c r="CG59" s="44"/>
      <c r="CH59" s="44">
        <f>+'[10]Acuerdo PLAN INVERSIÓN 2021'!$H$545</f>
        <v>14041499</v>
      </c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6">
        <f t="shared" si="8"/>
        <v>7.1217462482842109E-8</v>
      </c>
      <c r="DE59" s="44">
        <f t="shared" si="46"/>
        <v>1</v>
      </c>
      <c r="DF59" s="44">
        <f t="shared" si="47"/>
        <v>0</v>
      </c>
      <c r="DG59" s="44">
        <f t="shared" si="47"/>
        <v>1</v>
      </c>
      <c r="DH59" s="44">
        <f t="shared" si="47"/>
        <v>0</v>
      </c>
      <c r="DI59" s="44">
        <f t="shared" si="47"/>
        <v>0</v>
      </c>
      <c r="DJ59" s="44">
        <f t="shared" si="47"/>
        <v>0</v>
      </c>
      <c r="DK59" s="44">
        <f t="shared" si="47"/>
        <v>0</v>
      </c>
      <c r="DL59" s="44">
        <f t="shared" si="47"/>
        <v>0</v>
      </c>
      <c r="DM59" s="44">
        <f t="shared" si="47"/>
        <v>0</v>
      </c>
      <c r="DN59" s="44">
        <f t="shared" si="47"/>
        <v>0</v>
      </c>
      <c r="DO59" s="44">
        <f t="shared" si="47"/>
        <v>0</v>
      </c>
      <c r="DP59" s="44">
        <f t="shared" si="47"/>
        <v>0</v>
      </c>
      <c r="DQ59" s="44">
        <f t="shared" si="47"/>
        <v>0</v>
      </c>
      <c r="DR59" s="44">
        <f t="shared" si="47"/>
        <v>0</v>
      </c>
      <c r="DS59" s="44">
        <f t="shared" si="47"/>
        <v>0</v>
      </c>
      <c r="DT59" s="44">
        <f t="shared" si="47"/>
        <v>0</v>
      </c>
      <c r="DU59" s="44">
        <f t="shared" si="47"/>
        <v>0</v>
      </c>
      <c r="DV59" s="44">
        <f t="shared" si="48"/>
        <v>0</v>
      </c>
      <c r="DW59" s="44">
        <f t="shared" si="48"/>
        <v>0</v>
      </c>
      <c r="DX59" s="44">
        <f t="shared" si="48"/>
        <v>0</v>
      </c>
      <c r="DY59" s="44">
        <f t="shared" si="48"/>
        <v>0</v>
      </c>
      <c r="DZ59" s="44">
        <f t="shared" si="48"/>
        <v>0</v>
      </c>
      <c r="EA59" s="44">
        <f t="shared" si="48"/>
        <v>0</v>
      </c>
      <c r="EB59" s="44">
        <f t="shared" si="48"/>
        <v>0</v>
      </c>
      <c r="EE59" s="75">
        <f t="shared" si="29"/>
        <v>14041500</v>
      </c>
      <c r="EF59" s="75">
        <f t="shared" si="30"/>
        <v>14041499</v>
      </c>
    </row>
    <row r="60" spans="1:137" ht="23.25" hidden="1" customHeight="1" x14ac:dyDescent="0.25">
      <c r="A60" s="97"/>
      <c r="B60" s="186"/>
      <c r="C60" s="186" t="s">
        <v>193</v>
      </c>
      <c r="D60" s="186" t="s">
        <v>194</v>
      </c>
      <c r="E60" s="186">
        <v>520</v>
      </c>
      <c r="F60" s="187" t="s">
        <v>102</v>
      </c>
      <c r="G60" s="44">
        <f t="shared" si="39"/>
        <v>70000000</v>
      </c>
      <c r="H60" s="45">
        <v>85000000</v>
      </c>
      <c r="I60" s="45">
        <f t="shared" si="49"/>
        <v>15000000</v>
      </c>
      <c r="J60" s="44"/>
      <c r="K60" s="44">
        <f>30000000+10000000</f>
        <v>40000000</v>
      </c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>
        <f>10000000</f>
        <v>10000000</v>
      </c>
      <c r="AB60" s="44">
        <f>20000000</f>
        <v>20000000</v>
      </c>
      <c r="AC60" s="44"/>
      <c r="AD60" s="44"/>
      <c r="AE60" s="44"/>
      <c r="AF60" s="44"/>
      <c r="AG60" s="46">
        <f t="shared" si="1"/>
        <v>1</v>
      </c>
      <c r="AH60" s="44">
        <f t="shared" si="40"/>
        <v>70000000</v>
      </c>
      <c r="AI60" s="44"/>
      <c r="AJ60" s="44">
        <f>+'[7]Acuerdo PLAN INVERSIÓN 2021'!$J$1525</f>
        <v>40000000</v>
      </c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>
        <f>+'[1]Acuerdo PLAN INVERSIÓN 2021'!$X$2985</f>
        <v>10000000</v>
      </c>
      <c r="BA60" s="44">
        <f>+'[1]Acuerdo PLAN INVERSIÓN 2021'!$Y$2985</f>
        <v>20000000</v>
      </c>
      <c r="BB60" s="44"/>
      <c r="BC60" s="44"/>
      <c r="BD60" s="44"/>
      <c r="BE60" s="44"/>
      <c r="BF60" s="46">
        <f t="shared" si="12"/>
        <v>0</v>
      </c>
      <c r="BG60" s="44">
        <f t="shared" si="41"/>
        <v>0</v>
      </c>
      <c r="BH60" s="44">
        <f t="shared" si="42"/>
        <v>0</v>
      </c>
      <c r="BI60" s="44">
        <f t="shared" si="42"/>
        <v>0</v>
      </c>
      <c r="BJ60" s="44">
        <f t="shared" si="42"/>
        <v>0</v>
      </c>
      <c r="BK60" s="44">
        <f t="shared" si="42"/>
        <v>0</v>
      </c>
      <c r="BL60" s="44">
        <f t="shared" si="42"/>
        <v>0</v>
      </c>
      <c r="BM60" s="44">
        <f t="shared" si="42"/>
        <v>0</v>
      </c>
      <c r="BN60" s="44">
        <f t="shared" si="42"/>
        <v>0</v>
      </c>
      <c r="BO60" s="44">
        <f t="shared" si="42"/>
        <v>0</v>
      </c>
      <c r="BP60" s="44">
        <f t="shared" si="42"/>
        <v>0</v>
      </c>
      <c r="BQ60" s="44">
        <f t="shared" si="42"/>
        <v>0</v>
      </c>
      <c r="BR60" s="44">
        <f t="shared" si="42"/>
        <v>0</v>
      </c>
      <c r="BS60" s="44">
        <f t="shared" si="42"/>
        <v>0</v>
      </c>
      <c r="BT60" s="44">
        <f t="shared" si="42"/>
        <v>0</v>
      </c>
      <c r="BU60" s="44">
        <f t="shared" si="42"/>
        <v>0</v>
      </c>
      <c r="BV60" s="44">
        <f t="shared" si="42"/>
        <v>0</v>
      </c>
      <c r="BW60" s="44">
        <f t="shared" si="42"/>
        <v>0</v>
      </c>
      <c r="BX60" s="44">
        <f t="shared" si="43"/>
        <v>0</v>
      </c>
      <c r="BY60" s="44">
        <f t="shared" si="43"/>
        <v>0</v>
      </c>
      <c r="BZ60" s="44">
        <f t="shared" si="43"/>
        <v>0</v>
      </c>
      <c r="CA60" s="44">
        <f t="shared" si="43"/>
        <v>0</v>
      </c>
      <c r="CB60" s="44">
        <f t="shared" si="43"/>
        <v>0</v>
      </c>
      <c r="CC60" s="44">
        <f t="shared" si="43"/>
        <v>0</v>
      </c>
      <c r="CD60" s="44">
        <f t="shared" si="43"/>
        <v>0</v>
      </c>
      <c r="CE60" s="46">
        <f t="shared" si="44"/>
        <v>0.8660249571428571</v>
      </c>
      <c r="CF60" s="44">
        <f t="shared" si="45"/>
        <v>60621747</v>
      </c>
      <c r="CG60" s="44"/>
      <c r="CH60" s="44">
        <f>+'[5]Acuerdo PLAN INVERSIÓN 2021'!$H$4286+'[5]Acuerdo PLAN INVERSIÓN 2021'!$H$4290+'[5]Acuerdo PLAN INVERSIÓN 2021'!$H$4293+'[5]Acuerdo PLAN INVERSIÓN 2021'!$H$4298</f>
        <v>39875662</v>
      </c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>
        <f>+'[5]Acuerdo PLAN INVERSIÓN 2021'!$H$4301</f>
        <v>5000000</v>
      </c>
      <c r="CY60" s="44">
        <f>+'[5]Acuerdo PLAN INVERSIÓN 2021'!$H$4305</f>
        <v>15746085</v>
      </c>
      <c r="CZ60" s="44"/>
      <c r="DA60" s="44"/>
      <c r="DB60" s="44"/>
      <c r="DC60" s="44"/>
      <c r="DD60" s="46">
        <f t="shared" si="8"/>
        <v>0.1339750428571429</v>
      </c>
      <c r="DE60" s="44">
        <f t="shared" si="46"/>
        <v>9378253</v>
      </c>
      <c r="DF60" s="44">
        <f t="shared" si="47"/>
        <v>0</v>
      </c>
      <c r="DG60" s="44">
        <f t="shared" si="47"/>
        <v>124338</v>
      </c>
      <c r="DH60" s="44">
        <f t="shared" si="47"/>
        <v>0</v>
      </c>
      <c r="DI60" s="44">
        <f t="shared" si="47"/>
        <v>0</v>
      </c>
      <c r="DJ60" s="44">
        <f t="shared" si="47"/>
        <v>0</v>
      </c>
      <c r="DK60" s="44">
        <f t="shared" si="47"/>
        <v>0</v>
      </c>
      <c r="DL60" s="44">
        <f t="shared" si="47"/>
        <v>0</v>
      </c>
      <c r="DM60" s="44">
        <f t="shared" si="47"/>
        <v>0</v>
      </c>
      <c r="DN60" s="44">
        <f t="shared" si="47"/>
        <v>0</v>
      </c>
      <c r="DO60" s="44">
        <f t="shared" si="47"/>
        <v>0</v>
      </c>
      <c r="DP60" s="44">
        <f t="shared" si="47"/>
        <v>0</v>
      </c>
      <c r="DQ60" s="44">
        <f t="shared" si="47"/>
        <v>0</v>
      </c>
      <c r="DR60" s="44">
        <f t="shared" si="47"/>
        <v>0</v>
      </c>
      <c r="DS60" s="44">
        <f t="shared" si="47"/>
        <v>0</v>
      </c>
      <c r="DT60" s="44">
        <f t="shared" si="47"/>
        <v>0</v>
      </c>
      <c r="DU60" s="44">
        <f t="shared" si="47"/>
        <v>0</v>
      </c>
      <c r="DV60" s="44">
        <f t="shared" si="48"/>
        <v>0</v>
      </c>
      <c r="DW60" s="44">
        <f t="shared" si="48"/>
        <v>5000000</v>
      </c>
      <c r="DX60" s="44">
        <f t="shared" si="48"/>
        <v>4253915</v>
      </c>
      <c r="DY60" s="44">
        <f t="shared" si="48"/>
        <v>0</v>
      </c>
      <c r="DZ60" s="44">
        <f t="shared" si="48"/>
        <v>0</v>
      </c>
      <c r="EA60" s="44">
        <f t="shared" si="48"/>
        <v>0</v>
      </c>
      <c r="EB60" s="44">
        <f t="shared" si="48"/>
        <v>0</v>
      </c>
      <c r="EE60" s="75">
        <f t="shared" si="29"/>
        <v>70000000</v>
      </c>
      <c r="EF60" s="75">
        <f t="shared" si="30"/>
        <v>60621747</v>
      </c>
    </row>
    <row r="61" spans="1:137" ht="20.25" hidden="1" customHeight="1" x14ac:dyDescent="0.25">
      <c r="A61" s="97"/>
      <c r="B61" s="186"/>
      <c r="C61" s="186" t="s">
        <v>195</v>
      </c>
      <c r="D61" s="186" t="s">
        <v>196</v>
      </c>
      <c r="E61" s="186">
        <v>520</v>
      </c>
      <c r="F61" s="187" t="s">
        <v>102</v>
      </c>
      <c r="G61" s="44">
        <f t="shared" si="39"/>
        <v>50000000</v>
      </c>
      <c r="H61" s="45">
        <v>158000000</v>
      </c>
      <c r="I61" s="45">
        <f t="shared" si="49"/>
        <v>108000000</v>
      </c>
      <c r="J61" s="44"/>
      <c r="K61" s="44">
        <f>30000000+10000000</f>
        <v>40000000</v>
      </c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>
        <f>10000000</f>
        <v>10000000</v>
      </c>
      <c r="AB61" s="44"/>
      <c r="AC61" s="44"/>
      <c r="AD61" s="44"/>
      <c r="AE61" s="44"/>
      <c r="AF61" s="44"/>
      <c r="AG61" s="46">
        <f t="shared" si="1"/>
        <v>0.99268873999999996</v>
      </c>
      <c r="AH61" s="44">
        <f t="shared" si="40"/>
        <v>49634437</v>
      </c>
      <c r="AI61" s="44"/>
      <c r="AJ61" s="44">
        <f>+'[3]Acuerdo PLAN INVERSIÓN 2021'!$J$2184</f>
        <v>39634437</v>
      </c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>
        <f>+'[3]Acuerdo PLAN INVERSIÓN 2021'!$X$2184</f>
        <v>10000000</v>
      </c>
      <c r="BA61" s="44"/>
      <c r="BB61" s="44"/>
      <c r="BC61" s="44"/>
      <c r="BD61" s="44"/>
      <c r="BE61" s="44"/>
      <c r="BF61" s="46">
        <f t="shared" si="12"/>
        <v>7.3112600000000416E-3</v>
      </c>
      <c r="BG61" s="44">
        <f t="shared" si="41"/>
        <v>365563</v>
      </c>
      <c r="BH61" s="44">
        <f t="shared" si="42"/>
        <v>0</v>
      </c>
      <c r="BI61" s="44">
        <f t="shared" si="42"/>
        <v>365563</v>
      </c>
      <c r="BJ61" s="44">
        <f t="shared" si="42"/>
        <v>0</v>
      </c>
      <c r="BK61" s="44">
        <f t="shared" si="42"/>
        <v>0</v>
      </c>
      <c r="BL61" s="44">
        <f t="shared" si="42"/>
        <v>0</v>
      </c>
      <c r="BM61" s="44">
        <f t="shared" si="42"/>
        <v>0</v>
      </c>
      <c r="BN61" s="44">
        <f t="shared" si="42"/>
        <v>0</v>
      </c>
      <c r="BO61" s="44">
        <f t="shared" si="42"/>
        <v>0</v>
      </c>
      <c r="BP61" s="44">
        <f t="shared" si="42"/>
        <v>0</v>
      </c>
      <c r="BQ61" s="44">
        <f t="shared" si="42"/>
        <v>0</v>
      </c>
      <c r="BR61" s="44">
        <f t="shared" si="42"/>
        <v>0</v>
      </c>
      <c r="BS61" s="44">
        <f t="shared" si="42"/>
        <v>0</v>
      </c>
      <c r="BT61" s="44">
        <f t="shared" si="42"/>
        <v>0</v>
      </c>
      <c r="BU61" s="44">
        <f t="shared" si="42"/>
        <v>0</v>
      </c>
      <c r="BV61" s="44">
        <f t="shared" si="42"/>
        <v>0</v>
      </c>
      <c r="BW61" s="44">
        <f t="shared" si="42"/>
        <v>0</v>
      </c>
      <c r="BX61" s="44">
        <f t="shared" si="43"/>
        <v>0</v>
      </c>
      <c r="BY61" s="44">
        <f t="shared" si="43"/>
        <v>0</v>
      </c>
      <c r="BZ61" s="44">
        <f t="shared" si="43"/>
        <v>0</v>
      </c>
      <c r="CA61" s="44">
        <f t="shared" si="43"/>
        <v>0</v>
      </c>
      <c r="CB61" s="44">
        <f t="shared" si="43"/>
        <v>0</v>
      </c>
      <c r="CC61" s="44">
        <f t="shared" si="43"/>
        <v>0</v>
      </c>
      <c r="CD61" s="44">
        <f t="shared" si="43"/>
        <v>0</v>
      </c>
      <c r="CE61" s="46">
        <f t="shared" si="44"/>
        <v>0.99113512000000004</v>
      </c>
      <c r="CF61" s="44">
        <f>SUM(CG61:DC61)</f>
        <v>49556756</v>
      </c>
      <c r="CG61" s="44"/>
      <c r="CH61" s="4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>
        <f>+'[2]Acuerdo PLAN INVERSIÓN 2021'!$H$2575</f>
        <v>10000000</v>
      </c>
      <c r="CY61" s="44"/>
      <c r="CZ61" s="44"/>
      <c r="DA61" s="44"/>
      <c r="DB61" s="44"/>
      <c r="DC61" s="44"/>
      <c r="DD61" s="46">
        <f t="shared" si="8"/>
        <v>8.8648799999999639E-3</v>
      </c>
      <c r="DE61" s="44">
        <f t="shared" si="46"/>
        <v>443244</v>
      </c>
      <c r="DF61" s="44">
        <f t="shared" si="47"/>
        <v>0</v>
      </c>
      <c r="DG61" s="44">
        <f t="shared" si="47"/>
        <v>443244</v>
      </c>
      <c r="DH61" s="44">
        <f t="shared" si="47"/>
        <v>0</v>
      </c>
      <c r="DI61" s="44">
        <f t="shared" si="47"/>
        <v>0</v>
      </c>
      <c r="DJ61" s="44">
        <f t="shared" si="47"/>
        <v>0</v>
      </c>
      <c r="DK61" s="44">
        <f t="shared" si="47"/>
        <v>0</v>
      </c>
      <c r="DL61" s="44">
        <f t="shared" si="47"/>
        <v>0</v>
      </c>
      <c r="DM61" s="44">
        <f t="shared" si="47"/>
        <v>0</v>
      </c>
      <c r="DN61" s="44">
        <f t="shared" si="47"/>
        <v>0</v>
      </c>
      <c r="DO61" s="44">
        <f t="shared" si="47"/>
        <v>0</v>
      </c>
      <c r="DP61" s="44">
        <f t="shared" si="47"/>
        <v>0</v>
      </c>
      <c r="DQ61" s="44">
        <f t="shared" si="47"/>
        <v>0</v>
      </c>
      <c r="DR61" s="44">
        <f t="shared" si="47"/>
        <v>0</v>
      </c>
      <c r="DS61" s="44">
        <f t="shared" si="47"/>
        <v>0</v>
      </c>
      <c r="DT61" s="44">
        <f t="shared" si="47"/>
        <v>0</v>
      </c>
      <c r="DU61" s="44">
        <f t="shared" si="47"/>
        <v>0</v>
      </c>
      <c r="DV61" s="44">
        <f t="shared" si="48"/>
        <v>0</v>
      </c>
      <c r="DW61" s="44">
        <f t="shared" si="48"/>
        <v>0</v>
      </c>
      <c r="DX61" s="44">
        <f t="shared" si="48"/>
        <v>0</v>
      </c>
      <c r="DY61" s="44">
        <f t="shared" si="48"/>
        <v>0</v>
      </c>
      <c r="DZ61" s="44">
        <f t="shared" si="48"/>
        <v>0</v>
      </c>
      <c r="EA61" s="44">
        <f t="shared" si="48"/>
        <v>0</v>
      </c>
      <c r="EB61" s="44">
        <f t="shared" si="48"/>
        <v>0</v>
      </c>
      <c r="EE61" s="75">
        <f t="shared" si="29"/>
        <v>50000000</v>
      </c>
      <c r="EF61" s="75">
        <f t="shared" si="30"/>
        <v>49556756</v>
      </c>
    </row>
    <row r="62" spans="1:137" ht="24" hidden="1" customHeight="1" x14ac:dyDescent="0.25">
      <c r="A62" s="97"/>
      <c r="B62" s="186"/>
      <c r="C62" s="186" t="s">
        <v>197</v>
      </c>
      <c r="D62" s="186" t="s">
        <v>198</v>
      </c>
      <c r="E62" s="186">
        <v>520</v>
      </c>
      <c r="F62" s="187" t="s">
        <v>102</v>
      </c>
      <c r="G62" s="44">
        <f t="shared" si="39"/>
        <v>52834000</v>
      </c>
      <c r="H62" s="45">
        <v>0</v>
      </c>
      <c r="I62" s="45">
        <f t="shared" si="49"/>
        <v>-52834000</v>
      </c>
      <c r="J62" s="44"/>
      <c r="K62" s="44">
        <f>10000000</f>
        <v>10000000</v>
      </c>
      <c r="L62" s="44"/>
      <c r="M62" s="44"/>
      <c r="N62" s="44"/>
      <c r="O62" s="44">
        <v>20000000</v>
      </c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>
        <f>10000000</f>
        <v>10000000</v>
      </c>
      <c r="AB62" s="44">
        <f>12834000</f>
        <v>12834000</v>
      </c>
      <c r="AC62" s="44"/>
      <c r="AD62" s="44"/>
      <c r="AE62" s="44"/>
      <c r="AF62" s="44"/>
      <c r="AG62" s="46">
        <f t="shared" si="1"/>
        <v>1</v>
      </c>
      <c r="AH62" s="44">
        <f t="shared" si="40"/>
        <v>52834000</v>
      </c>
      <c r="AI62" s="44"/>
      <c r="AJ62" s="44">
        <f>+'[2]Acuerdo PLAN INVERSIÓN 2021'!$J$2579</f>
        <v>10000000</v>
      </c>
      <c r="AK62" s="44"/>
      <c r="AL62" s="44"/>
      <c r="AM62" s="44"/>
      <c r="AN62" s="44">
        <f>+'[10]Acuerdo PLAN INVERSIÓN 2021'!$AC$569</f>
        <v>20000000</v>
      </c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>
        <f>+'[4]Acuerdo PLAN INVERSIÓN 2021'!$X$1811</f>
        <v>10000000</v>
      </c>
      <c r="BA62" s="44">
        <f>+'[1]Acuerdo PLAN INVERSIÓN 2021'!$Y$3036</f>
        <v>12834000</v>
      </c>
      <c r="BB62" s="44"/>
      <c r="BC62" s="44"/>
      <c r="BD62" s="44"/>
      <c r="BE62" s="44"/>
      <c r="BF62" s="46">
        <f t="shared" si="12"/>
        <v>0</v>
      </c>
      <c r="BG62" s="44">
        <f t="shared" si="41"/>
        <v>0</v>
      </c>
      <c r="BH62" s="44">
        <f t="shared" si="42"/>
        <v>0</v>
      </c>
      <c r="BI62" s="44">
        <f t="shared" si="42"/>
        <v>0</v>
      </c>
      <c r="BJ62" s="44">
        <f t="shared" si="42"/>
        <v>0</v>
      </c>
      <c r="BK62" s="44">
        <f t="shared" si="42"/>
        <v>0</v>
      </c>
      <c r="BL62" s="44">
        <f t="shared" si="42"/>
        <v>0</v>
      </c>
      <c r="BM62" s="44">
        <f t="shared" si="42"/>
        <v>0</v>
      </c>
      <c r="BN62" s="44">
        <f t="shared" si="42"/>
        <v>0</v>
      </c>
      <c r="BO62" s="44">
        <f t="shared" si="42"/>
        <v>0</v>
      </c>
      <c r="BP62" s="44">
        <f t="shared" si="42"/>
        <v>0</v>
      </c>
      <c r="BQ62" s="44">
        <f t="shared" si="42"/>
        <v>0</v>
      </c>
      <c r="BR62" s="44">
        <f t="shared" si="42"/>
        <v>0</v>
      </c>
      <c r="BS62" s="44">
        <f t="shared" si="42"/>
        <v>0</v>
      </c>
      <c r="BT62" s="44">
        <f t="shared" si="42"/>
        <v>0</v>
      </c>
      <c r="BU62" s="44">
        <f t="shared" si="42"/>
        <v>0</v>
      </c>
      <c r="BV62" s="44">
        <f t="shared" si="42"/>
        <v>0</v>
      </c>
      <c r="BW62" s="44">
        <f t="shared" si="42"/>
        <v>0</v>
      </c>
      <c r="BX62" s="44">
        <f t="shared" si="43"/>
        <v>0</v>
      </c>
      <c r="BY62" s="44">
        <f t="shared" si="43"/>
        <v>0</v>
      </c>
      <c r="BZ62" s="44">
        <f t="shared" si="43"/>
        <v>0</v>
      </c>
      <c r="CA62" s="44">
        <f t="shared" si="43"/>
        <v>0</v>
      </c>
      <c r="CB62" s="44">
        <f t="shared" si="43"/>
        <v>0</v>
      </c>
      <c r="CC62" s="44">
        <f t="shared" si="43"/>
        <v>0</v>
      </c>
      <c r="CD62" s="44">
        <f t="shared" si="43"/>
        <v>0</v>
      </c>
      <c r="CE62" s="46">
        <f t="shared" si="44"/>
        <v>0.92742298519892497</v>
      </c>
      <c r="CF62" s="44">
        <f t="shared" si="45"/>
        <v>48999466</v>
      </c>
      <c r="CG62" s="44"/>
      <c r="CH62" s="44">
        <f>+'[6]Acuerdo PLAN INVERSIÓN 2021'!$H$3677</f>
        <v>10000000</v>
      </c>
      <c r="CI62" s="44"/>
      <c r="CJ62" s="44"/>
      <c r="CK62" s="44"/>
      <c r="CL62" s="44">
        <f>+'[10]Acuerdo PLAN INVERSIÓN 2021'!$H$567</f>
        <v>20000000</v>
      </c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>
        <f>+'[6]Acuerdo PLAN INVERSIÓN 2021'!$H$3674</f>
        <v>10000000</v>
      </c>
      <c r="CY62" s="44">
        <f>+'[6]Acuerdo PLAN INVERSIÓN 2021'!$H$3680</f>
        <v>8999466</v>
      </c>
      <c r="CZ62" s="44"/>
      <c r="DA62" s="44"/>
      <c r="DB62" s="44"/>
      <c r="DC62" s="44"/>
      <c r="DD62" s="46">
        <f t="shared" si="8"/>
        <v>7.2577014801075035E-2</v>
      </c>
      <c r="DE62" s="44">
        <f t="shared" si="46"/>
        <v>3834534</v>
      </c>
      <c r="DF62" s="44">
        <f t="shared" si="47"/>
        <v>0</v>
      </c>
      <c r="DG62" s="44">
        <f t="shared" si="47"/>
        <v>0</v>
      </c>
      <c r="DH62" s="44">
        <f t="shared" si="47"/>
        <v>0</v>
      </c>
      <c r="DI62" s="44">
        <f t="shared" si="47"/>
        <v>0</v>
      </c>
      <c r="DJ62" s="44">
        <f t="shared" si="47"/>
        <v>0</v>
      </c>
      <c r="DK62" s="44">
        <f t="shared" si="47"/>
        <v>0</v>
      </c>
      <c r="DL62" s="44">
        <f t="shared" si="47"/>
        <v>0</v>
      </c>
      <c r="DM62" s="44">
        <f t="shared" si="47"/>
        <v>0</v>
      </c>
      <c r="DN62" s="44">
        <f t="shared" si="47"/>
        <v>0</v>
      </c>
      <c r="DO62" s="44">
        <f t="shared" si="47"/>
        <v>0</v>
      </c>
      <c r="DP62" s="44">
        <f t="shared" si="47"/>
        <v>0</v>
      </c>
      <c r="DQ62" s="44">
        <f t="shared" si="47"/>
        <v>0</v>
      </c>
      <c r="DR62" s="44">
        <f t="shared" si="47"/>
        <v>0</v>
      </c>
      <c r="DS62" s="44">
        <f t="shared" si="47"/>
        <v>0</v>
      </c>
      <c r="DT62" s="44">
        <f t="shared" si="47"/>
        <v>0</v>
      </c>
      <c r="DU62" s="44">
        <f t="shared" si="47"/>
        <v>0</v>
      </c>
      <c r="DV62" s="44">
        <f t="shared" si="48"/>
        <v>0</v>
      </c>
      <c r="DW62" s="44">
        <f t="shared" si="48"/>
        <v>0</v>
      </c>
      <c r="DX62" s="44">
        <f t="shared" si="48"/>
        <v>3834534</v>
      </c>
      <c r="DY62" s="44">
        <f t="shared" si="48"/>
        <v>0</v>
      </c>
      <c r="DZ62" s="44">
        <f t="shared" si="48"/>
        <v>0</v>
      </c>
      <c r="EA62" s="44">
        <f t="shared" si="48"/>
        <v>0</v>
      </c>
      <c r="EB62" s="44">
        <f t="shared" si="48"/>
        <v>0</v>
      </c>
      <c r="EE62" s="75">
        <f t="shared" si="29"/>
        <v>52834000</v>
      </c>
      <c r="EF62" s="75">
        <f t="shared" si="30"/>
        <v>48999466</v>
      </c>
    </row>
    <row r="63" spans="1:137" ht="55.5" hidden="1" customHeight="1" x14ac:dyDescent="0.25">
      <c r="A63" s="97"/>
      <c r="B63" s="186" t="s">
        <v>199</v>
      </c>
      <c r="C63" s="186" t="s">
        <v>200</v>
      </c>
      <c r="D63" s="186" t="s">
        <v>201</v>
      </c>
      <c r="E63" s="186">
        <v>520</v>
      </c>
      <c r="F63" s="187" t="s">
        <v>202</v>
      </c>
      <c r="G63" s="44">
        <f t="shared" si="39"/>
        <v>1254721927</v>
      </c>
      <c r="H63" s="45">
        <v>800000000</v>
      </c>
      <c r="I63" s="45">
        <f t="shared" si="49"/>
        <v>-454721927</v>
      </c>
      <c r="J63" s="78"/>
      <c r="K63" s="44">
        <f>95000000+80000000+37736445</f>
        <v>212736445</v>
      </c>
      <c r="L63" s="44"/>
      <c r="M63" s="44"/>
      <c r="N63" s="78"/>
      <c r="O63" s="44">
        <v>147645552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>
        <f>80000000+27766866</f>
        <v>107766866</v>
      </c>
      <c r="AB63" s="44">
        <v>19896688</v>
      </c>
      <c r="AC63" s="44"/>
      <c r="AD63" s="44"/>
      <c r="AE63" s="44"/>
      <c r="AF63" s="44">
        <f>349469459+27565544+40000000+15000000+15000000+143204446+8836832+49165018+11000000+4714000+5000000+78468477+8000000+5000000-3747400+10000000</f>
        <v>766676376</v>
      </c>
      <c r="AG63" s="46">
        <f t="shared" si="1"/>
        <v>0.89903960449397646</v>
      </c>
      <c r="AH63" s="44">
        <f t="shared" si="40"/>
        <v>1128044705</v>
      </c>
      <c r="AI63" s="44"/>
      <c r="AJ63" s="44">
        <f>+'[1]Acuerdo PLAN INVERSIÓN 2021'!$J$3054</f>
        <v>186041805</v>
      </c>
      <c r="AK63" s="44"/>
      <c r="AL63" s="44"/>
      <c r="AM63" s="44"/>
      <c r="AN63" s="44">
        <f>+'[5]Acuerdo PLAN INVERSIÓN 2021'!$AD$4360</f>
        <v>135819660</v>
      </c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>
        <f>+'[6]Acuerdo PLAN INVERSIÓN 2021'!$X$3687</f>
        <v>103259000</v>
      </c>
      <c r="BA63" s="44">
        <f>+'[1]Acuerdo PLAN INVERSIÓN 2021'!$Y$3054</f>
        <v>19896688</v>
      </c>
      <c r="BB63" s="44"/>
      <c r="BC63" s="44"/>
      <c r="BD63" s="44"/>
      <c r="BE63" s="44">
        <f>+'[5]Acuerdo PLAN INVERSIÓN 2021'!$AF$4360</f>
        <v>683027552</v>
      </c>
      <c r="BF63" s="46">
        <f t="shared" si="12"/>
        <v>0.10096039550602354</v>
      </c>
      <c r="BG63" s="44">
        <f t="shared" si="41"/>
        <v>126677222</v>
      </c>
      <c r="BH63" s="44">
        <f t="shared" si="42"/>
        <v>0</v>
      </c>
      <c r="BI63" s="44">
        <f t="shared" si="42"/>
        <v>26694640</v>
      </c>
      <c r="BJ63" s="44">
        <f t="shared" si="42"/>
        <v>0</v>
      </c>
      <c r="BK63" s="44">
        <f t="shared" si="42"/>
        <v>0</v>
      </c>
      <c r="BL63" s="44">
        <f t="shared" si="42"/>
        <v>0</v>
      </c>
      <c r="BM63" s="44">
        <f t="shared" si="42"/>
        <v>11825892</v>
      </c>
      <c r="BN63" s="44">
        <f t="shared" si="42"/>
        <v>0</v>
      </c>
      <c r="BO63" s="44">
        <f t="shared" si="42"/>
        <v>0</v>
      </c>
      <c r="BP63" s="44">
        <f t="shared" si="42"/>
        <v>0</v>
      </c>
      <c r="BQ63" s="44">
        <f t="shared" si="42"/>
        <v>0</v>
      </c>
      <c r="BR63" s="44">
        <f t="shared" si="42"/>
        <v>0</v>
      </c>
      <c r="BS63" s="44">
        <f t="shared" si="42"/>
        <v>0</v>
      </c>
      <c r="BT63" s="44">
        <f t="shared" si="42"/>
        <v>0</v>
      </c>
      <c r="BU63" s="44">
        <f t="shared" si="42"/>
        <v>0</v>
      </c>
      <c r="BV63" s="44">
        <f t="shared" si="42"/>
        <v>0</v>
      </c>
      <c r="BW63" s="44">
        <f t="shared" si="42"/>
        <v>0</v>
      </c>
      <c r="BX63" s="44">
        <f t="shared" si="43"/>
        <v>0</v>
      </c>
      <c r="BY63" s="44">
        <f t="shared" si="43"/>
        <v>4507866</v>
      </c>
      <c r="BZ63" s="44">
        <f t="shared" si="43"/>
        <v>0</v>
      </c>
      <c r="CA63" s="44">
        <f t="shared" si="43"/>
        <v>0</v>
      </c>
      <c r="CB63" s="44">
        <f t="shared" si="43"/>
        <v>0</v>
      </c>
      <c r="CC63" s="44">
        <f t="shared" si="43"/>
        <v>0</v>
      </c>
      <c r="CD63" s="44">
        <f t="shared" si="43"/>
        <v>83648824</v>
      </c>
      <c r="CE63" s="46">
        <f t="shared" si="44"/>
        <v>0.81573947260746327</v>
      </c>
      <c r="CF63" s="44">
        <f t="shared" si="45"/>
        <v>1023526203</v>
      </c>
      <c r="CG63" s="44"/>
      <c r="CH63" s="44">
        <f>+'[5]Acuerdo PLAN INVERSIÓN 2021'!$H$4376+'[5]Acuerdo PLAN INVERSIÓN 2021'!$H$4416+'[5]Acuerdo PLAN INVERSIÓN 2021'!$H$4437+'[5]Acuerdo PLAN INVERSIÓN 2021'!$H$4440+'[5]Acuerdo PLAN INVERSIÓN 2021'!$H$4517+'[5]Acuerdo PLAN INVERSIÓN 2021'!$H$4635+'[5]Acuerdo PLAN INVERSIÓN 2021'!$H$4797</f>
        <v>181536622</v>
      </c>
      <c r="CI63" s="44"/>
      <c r="CJ63" s="44"/>
      <c r="CK63" s="44"/>
      <c r="CL63" s="44">
        <f>+'[5]Acuerdo PLAN INVERSIÓN 2021'!$H$4473+'[5]Acuerdo PLAN INVERSIÓN 2021'!$H$4476+'[5]Acuerdo PLAN INVERSIÓN 2021'!$H$4483+'[5]Acuerdo PLAN INVERSIÓN 2021'!$H$4486+'[5]Acuerdo PLAN INVERSIÓN 2021'!$H$4521+'[5]Acuerdo PLAN INVERSIÓN 2021'!$H$4525+'[5]Acuerdo PLAN INVERSIÓN 2021'!$H$4529+'[5]Acuerdo PLAN INVERSIÓN 2021'!$H$4770+'[5]Acuerdo PLAN INVERSIÓN 2021'!$H$4773+'[5]Acuerdo PLAN INVERSIÓN 2021'!$H$4778+'[5]Acuerdo PLAN INVERSIÓN 2021'!$H$4781+'[5]Acuerdo PLAN INVERSIÓN 2021'!$H$4785+'[5]Acuerdo PLAN INVERSIÓN 2021'!$H$4788+'[5]Acuerdo PLAN INVERSIÓN 2021'!$H$4850+'[5]Acuerdo PLAN INVERSIÓN 2021'!$H$4855+'[5]Acuerdo PLAN INVERSIÓN 2021'!$H$4858+'[5]Acuerdo PLAN INVERSIÓN 2021'!$H$4861+'[5]Acuerdo PLAN INVERSIÓN 2021'!$H$4864+'[5]Acuerdo PLAN INVERSIÓN 2021'!$H$4868+'[5]Acuerdo PLAN INVERSIÓN 2021'!$H$4884+'[5]Acuerdo PLAN INVERSIÓN 2021'!$H$4887+'[5]Acuerdo PLAN INVERSIÓN 2021'!$H$4892+'[5]Acuerdo PLAN INVERSIÓN 2021'!$H$4895+'[5]Acuerdo PLAN INVERSIÓN 2021'!$H$4898+'[5]Acuerdo PLAN INVERSIÓN 2021'!$H$4924+'[5]Acuerdo PLAN INVERSIÓN 2021'!$H$4928+'[5]Acuerdo PLAN INVERSIÓN 2021'!$H$4932+'[5]Acuerdo PLAN INVERSIÓN 2021'!$H$4936+35528646</f>
        <v>101783331</v>
      </c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>
        <f>+'[5]Acuerdo PLAN INVERSIÓN 2021'!$H$4580+'[5]Acuerdo PLAN INVERSIÓN 2021'!$H$4583+'[5]Acuerdo PLAN INVERSIÓN 2021'!$H$4586+'[5]Acuerdo PLAN INVERSIÓN 2021'!$H$4591+'[5]Acuerdo PLAN INVERSIÓN 2021'!$H$4596+'[5]Acuerdo PLAN INVERSIÓN 2021'!$H$4624+'[5]Acuerdo PLAN INVERSIÓN 2021'!$H$4644+'[5]Acuerdo PLAN INVERSIÓN 2021'!$H$4647+'[5]Acuerdo PLAN INVERSIÓN 2021'!$H$4688+'[5]Acuerdo PLAN INVERSIÓN 2021'!$H$4691+'[5]Acuerdo PLAN INVERSIÓN 2021'!$H$4738+'[5]Acuerdo PLAN INVERSIÓN 2021'!$H$4742+'[5]Acuerdo PLAN INVERSIÓN 2021'!$H$4764+'[5]Acuerdo PLAN INVERSIÓN 2021'!$H$4803+'[5]Acuerdo PLAN INVERSIÓN 2021'!$H$4843+'[5]Acuerdo PLAN INVERSIÓN 2021'!$H$4998</f>
        <v>69685985</v>
      </c>
      <c r="CY63" s="44">
        <f>+'[1]Acuerdo PLAN INVERSIÓN 2021'!$H$3489</f>
        <v>19896688</v>
      </c>
      <c r="CZ63" s="44"/>
      <c r="DA63" s="44"/>
      <c r="DB63" s="44"/>
      <c r="DC63" s="44">
        <f>+'[5]Acuerdo PLAN INVERSIÓN 2021'!$H$4358-CY63-CX63-CL63-CH63</f>
        <v>650623577</v>
      </c>
      <c r="DD63" s="46">
        <f t="shared" si="8"/>
        <v>0.18426052739253673</v>
      </c>
      <c r="DE63" s="44">
        <f t="shared" si="46"/>
        <v>231195724</v>
      </c>
      <c r="DF63" s="44">
        <f t="shared" si="47"/>
        <v>0</v>
      </c>
      <c r="DG63" s="44">
        <f t="shared" si="47"/>
        <v>31199823</v>
      </c>
      <c r="DH63" s="44">
        <f t="shared" si="47"/>
        <v>0</v>
      </c>
      <c r="DI63" s="44">
        <f t="shared" si="47"/>
        <v>0</v>
      </c>
      <c r="DJ63" s="44">
        <f t="shared" si="47"/>
        <v>0</v>
      </c>
      <c r="DK63" s="44">
        <f t="shared" si="47"/>
        <v>45862221</v>
      </c>
      <c r="DL63" s="44">
        <f t="shared" si="47"/>
        <v>0</v>
      </c>
      <c r="DM63" s="44">
        <f t="shared" si="47"/>
        <v>0</v>
      </c>
      <c r="DN63" s="44">
        <f t="shared" si="47"/>
        <v>0</v>
      </c>
      <c r="DO63" s="44">
        <f t="shared" si="47"/>
        <v>0</v>
      </c>
      <c r="DP63" s="44">
        <f t="shared" si="47"/>
        <v>0</v>
      </c>
      <c r="DQ63" s="44">
        <f t="shared" si="47"/>
        <v>0</v>
      </c>
      <c r="DR63" s="44">
        <f t="shared" si="47"/>
        <v>0</v>
      </c>
      <c r="DS63" s="44">
        <f t="shared" si="47"/>
        <v>0</v>
      </c>
      <c r="DT63" s="44">
        <f t="shared" si="47"/>
        <v>0</v>
      </c>
      <c r="DU63" s="44">
        <f t="shared" si="47"/>
        <v>0</v>
      </c>
      <c r="DV63" s="44">
        <f t="shared" si="48"/>
        <v>0</v>
      </c>
      <c r="DW63" s="44">
        <f t="shared" si="48"/>
        <v>38080881</v>
      </c>
      <c r="DX63" s="44">
        <f t="shared" si="48"/>
        <v>0</v>
      </c>
      <c r="DY63" s="44">
        <f t="shared" si="48"/>
        <v>0</v>
      </c>
      <c r="DZ63" s="44">
        <f t="shared" si="48"/>
        <v>0</v>
      </c>
      <c r="EA63" s="44">
        <f t="shared" si="48"/>
        <v>0</v>
      </c>
      <c r="EB63" s="44">
        <f t="shared" si="48"/>
        <v>116052799</v>
      </c>
      <c r="EE63" s="75">
        <f t="shared" si="29"/>
        <v>1254721927</v>
      </c>
      <c r="EF63" s="75">
        <f t="shared" si="30"/>
        <v>1023526203</v>
      </c>
    </row>
    <row r="64" spans="1:137" ht="21" hidden="1" customHeight="1" x14ac:dyDescent="0.25">
      <c r="A64" s="97"/>
      <c r="B64" s="186"/>
      <c r="C64" s="186" t="s">
        <v>203</v>
      </c>
      <c r="D64" s="186" t="s">
        <v>204</v>
      </c>
      <c r="E64" s="186">
        <v>520</v>
      </c>
      <c r="F64" s="187" t="s">
        <v>102</v>
      </c>
      <c r="G64" s="44">
        <f t="shared" si="39"/>
        <v>0</v>
      </c>
      <c r="H64" s="98">
        <f>350000000+315000000+276000000</f>
        <v>941000000</v>
      </c>
      <c r="I64" s="45">
        <f t="shared" si="49"/>
        <v>941000000</v>
      </c>
      <c r="J64" s="80"/>
      <c r="K64" s="44"/>
      <c r="L64" s="78"/>
      <c r="M64" s="78"/>
      <c r="N64" s="78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6" t="e">
        <f t="shared" si="1"/>
        <v>#DIV/0!</v>
      </c>
      <c r="AH64" s="44">
        <f t="shared" si="40"/>
        <v>0</v>
      </c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6" t="e">
        <f t="shared" si="12"/>
        <v>#DIV/0!</v>
      </c>
      <c r="BG64" s="44">
        <f t="shared" si="41"/>
        <v>0</v>
      </c>
      <c r="BH64" s="44">
        <f t="shared" si="42"/>
        <v>0</v>
      </c>
      <c r="BI64" s="44">
        <f t="shared" si="42"/>
        <v>0</v>
      </c>
      <c r="BJ64" s="44">
        <f t="shared" si="42"/>
        <v>0</v>
      </c>
      <c r="BK64" s="44">
        <f t="shared" si="42"/>
        <v>0</v>
      </c>
      <c r="BL64" s="44">
        <f t="shared" si="42"/>
        <v>0</v>
      </c>
      <c r="BM64" s="44">
        <f t="shared" si="42"/>
        <v>0</v>
      </c>
      <c r="BN64" s="44">
        <f t="shared" si="42"/>
        <v>0</v>
      </c>
      <c r="BO64" s="44">
        <f t="shared" si="42"/>
        <v>0</v>
      </c>
      <c r="BP64" s="44">
        <f t="shared" si="42"/>
        <v>0</v>
      </c>
      <c r="BQ64" s="44">
        <f t="shared" si="42"/>
        <v>0</v>
      </c>
      <c r="BR64" s="44">
        <f t="shared" si="42"/>
        <v>0</v>
      </c>
      <c r="BS64" s="44">
        <f t="shared" si="42"/>
        <v>0</v>
      </c>
      <c r="BT64" s="44">
        <f t="shared" si="42"/>
        <v>0</v>
      </c>
      <c r="BU64" s="44">
        <f t="shared" si="42"/>
        <v>0</v>
      </c>
      <c r="BV64" s="44">
        <f t="shared" si="42"/>
        <v>0</v>
      </c>
      <c r="BW64" s="44">
        <f t="shared" si="42"/>
        <v>0</v>
      </c>
      <c r="BX64" s="44">
        <f t="shared" si="43"/>
        <v>0</v>
      </c>
      <c r="BY64" s="44">
        <f t="shared" si="43"/>
        <v>0</v>
      </c>
      <c r="BZ64" s="44">
        <f t="shared" si="43"/>
        <v>0</v>
      </c>
      <c r="CA64" s="44">
        <f t="shared" si="43"/>
        <v>0</v>
      </c>
      <c r="CB64" s="44">
        <f t="shared" si="43"/>
        <v>0</v>
      </c>
      <c r="CC64" s="44">
        <f t="shared" si="43"/>
        <v>0</v>
      </c>
      <c r="CD64" s="44">
        <f t="shared" si="43"/>
        <v>0</v>
      </c>
      <c r="CE64" s="46" t="e">
        <f t="shared" si="44"/>
        <v>#DIV/0!</v>
      </c>
      <c r="CF64" s="44">
        <f t="shared" si="45"/>
        <v>0</v>
      </c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6" t="e">
        <f t="shared" si="8"/>
        <v>#DIV/0!</v>
      </c>
      <c r="DE64" s="44">
        <f t="shared" si="46"/>
        <v>0</v>
      </c>
      <c r="DF64" s="44">
        <f t="shared" si="47"/>
        <v>0</v>
      </c>
      <c r="DG64" s="44">
        <f t="shared" si="47"/>
        <v>0</v>
      </c>
      <c r="DH64" s="44">
        <f t="shared" si="47"/>
        <v>0</v>
      </c>
      <c r="DI64" s="44">
        <f t="shared" si="47"/>
        <v>0</v>
      </c>
      <c r="DJ64" s="44">
        <f t="shared" si="47"/>
        <v>0</v>
      </c>
      <c r="DK64" s="44">
        <f t="shared" si="47"/>
        <v>0</v>
      </c>
      <c r="DL64" s="44">
        <f t="shared" si="47"/>
        <v>0</v>
      </c>
      <c r="DM64" s="44">
        <f t="shared" si="47"/>
        <v>0</v>
      </c>
      <c r="DN64" s="44">
        <f t="shared" si="47"/>
        <v>0</v>
      </c>
      <c r="DO64" s="44">
        <f t="shared" si="47"/>
        <v>0</v>
      </c>
      <c r="DP64" s="44">
        <f t="shared" si="47"/>
        <v>0</v>
      </c>
      <c r="DQ64" s="44">
        <f t="shared" si="47"/>
        <v>0</v>
      </c>
      <c r="DR64" s="44">
        <f t="shared" si="47"/>
        <v>0</v>
      </c>
      <c r="DS64" s="44">
        <f t="shared" si="47"/>
        <v>0</v>
      </c>
      <c r="DT64" s="44">
        <f t="shared" si="47"/>
        <v>0</v>
      </c>
      <c r="DU64" s="44">
        <f t="shared" si="47"/>
        <v>0</v>
      </c>
      <c r="DV64" s="44">
        <f t="shared" si="48"/>
        <v>0</v>
      </c>
      <c r="DW64" s="44">
        <f t="shared" si="48"/>
        <v>0</v>
      </c>
      <c r="DX64" s="44">
        <f t="shared" si="48"/>
        <v>0</v>
      </c>
      <c r="DY64" s="44">
        <f t="shared" si="48"/>
        <v>0</v>
      </c>
      <c r="DZ64" s="44">
        <f t="shared" si="48"/>
        <v>0</v>
      </c>
      <c r="EA64" s="44">
        <f t="shared" si="48"/>
        <v>0</v>
      </c>
      <c r="EB64" s="44">
        <f t="shared" si="48"/>
        <v>0</v>
      </c>
      <c r="EE64" s="75">
        <f t="shared" si="29"/>
        <v>0</v>
      </c>
      <c r="EF64" s="75">
        <f t="shared" si="30"/>
        <v>0</v>
      </c>
    </row>
    <row r="65" spans="1:137" ht="45.75" hidden="1" customHeight="1" x14ac:dyDescent="0.25">
      <c r="A65" s="97"/>
      <c r="B65" s="186"/>
      <c r="C65" s="186" t="s">
        <v>205</v>
      </c>
      <c r="D65" s="186" t="s">
        <v>206</v>
      </c>
      <c r="E65" s="186">
        <v>520</v>
      </c>
      <c r="F65" s="187" t="s">
        <v>207</v>
      </c>
      <c r="G65" s="44">
        <f t="shared" si="39"/>
        <v>68878336</v>
      </c>
      <c r="H65" s="45">
        <v>420000000</v>
      </c>
      <c r="I65" s="45">
        <f t="shared" si="49"/>
        <v>351121664</v>
      </c>
      <c r="J65" s="78"/>
      <c r="K65" s="44"/>
      <c r="L65" s="78"/>
      <c r="M65" s="78"/>
      <c r="N65" s="78"/>
      <c r="O65" s="78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>
        <f>39332279+5000000+5000000+5000000+6546057+8000000</f>
        <v>68878336</v>
      </c>
      <c r="AG65" s="46">
        <f t="shared" si="1"/>
        <v>0.84755729290556614</v>
      </c>
      <c r="AH65" s="44">
        <f t="shared" si="40"/>
        <v>58378336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>
        <f>+'[6]Acuerdo PLAN INVERSIÓN 2021'!$AF$4366</f>
        <v>58378336</v>
      </c>
      <c r="BF65" s="46">
        <f t="shared" si="12"/>
        <v>0.15244270709443386</v>
      </c>
      <c r="BG65" s="44">
        <f t="shared" si="41"/>
        <v>10500000</v>
      </c>
      <c r="BH65" s="44">
        <f t="shared" si="42"/>
        <v>0</v>
      </c>
      <c r="BI65" s="44">
        <f t="shared" si="42"/>
        <v>0</v>
      </c>
      <c r="BJ65" s="44">
        <f t="shared" si="42"/>
        <v>0</v>
      </c>
      <c r="BK65" s="44">
        <f t="shared" si="42"/>
        <v>0</v>
      </c>
      <c r="BL65" s="44">
        <f t="shared" si="42"/>
        <v>0</v>
      </c>
      <c r="BM65" s="44">
        <f t="shared" si="42"/>
        <v>0</v>
      </c>
      <c r="BN65" s="44">
        <f t="shared" si="42"/>
        <v>0</v>
      </c>
      <c r="BO65" s="44">
        <f t="shared" si="42"/>
        <v>0</v>
      </c>
      <c r="BP65" s="44">
        <f t="shared" si="42"/>
        <v>0</v>
      </c>
      <c r="BQ65" s="44">
        <f t="shared" si="42"/>
        <v>0</v>
      </c>
      <c r="BR65" s="44">
        <f t="shared" si="42"/>
        <v>0</v>
      </c>
      <c r="BS65" s="44">
        <f t="shared" si="42"/>
        <v>0</v>
      </c>
      <c r="BT65" s="44">
        <f t="shared" si="42"/>
        <v>0</v>
      </c>
      <c r="BU65" s="44">
        <f t="shared" si="42"/>
        <v>0</v>
      </c>
      <c r="BV65" s="44">
        <f t="shared" si="42"/>
        <v>0</v>
      </c>
      <c r="BW65" s="44">
        <f t="shared" si="42"/>
        <v>0</v>
      </c>
      <c r="BX65" s="44">
        <f t="shared" si="43"/>
        <v>0</v>
      </c>
      <c r="BY65" s="44">
        <f t="shared" si="43"/>
        <v>0</v>
      </c>
      <c r="BZ65" s="44">
        <f t="shared" si="43"/>
        <v>0</v>
      </c>
      <c r="CA65" s="44">
        <f t="shared" si="43"/>
        <v>0</v>
      </c>
      <c r="CB65" s="44">
        <f t="shared" si="43"/>
        <v>0</v>
      </c>
      <c r="CC65" s="44">
        <f t="shared" si="43"/>
        <v>0</v>
      </c>
      <c r="CD65" s="44">
        <f t="shared" si="43"/>
        <v>10500000</v>
      </c>
      <c r="CE65" s="46">
        <f t="shared" si="44"/>
        <v>0.73682000680155801</v>
      </c>
      <c r="CF65" s="44">
        <f t="shared" si="45"/>
        <v>50750936</v>
      </c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>
        <f>+'[5]Acuerdo PLAN INVERSIÓN 2021'!$H$5120</f>
        <v>50750936</v>
      </c>
      <c r="DD65" s="46">
        <f t="shared" si="8"/>
        <v>0.26317999319844199</v>
      </c>
      <c r="DE65" s="44">
        <f t="shared" si="46"/>
        <v>18127400</v>
      </c>
      <c r="DF65" s="44">
        <f t="shared" si="47"/>
        <v>0</v>
      </c>
      <c r="DG65" s="44">
        <f t="shared" si="47"/>
        <v>0</v>
      </c>
      <c r="DH65" s="44">
        <f t="shared" si="47"/>
        <v>0</v>
      </c>
      <c r="DI65" s="44">
        <f t="shared" si="47"/>
        <v>0</v>
      </c>
      <c r="DJ65" s="44">
        <f t="shared" si="47"/>
        <v>0</v>
      </c>
      <c r="DK65" s="44">
        <f t="shared" si="47"/>
        <v>0</v>
      </c>
      <c r="DL65" s="44">
        <f t="shared" si="47"/>
        <v>0</v>
      </c>
      <c r="DM65" s="44">
        <f t="shared" si="47"/>
        <v>0</v>
      </c>
      <c r="DN65" s="44">
        <f t="shared" si="47"/>
        <v>0</v>
      </c>
      <c r="DO65" s="44">
        <f t="shared" si="47"/>
        <v>0</v>
      </c>
      <c r="DP65" s="44">
        <f t="shared" si="47"/>
        <v>0</v>
      </c>
      <c r="DQ65" s="44">
        <f t="shared" si="47"/>
        <v>0</v>
      </c>
      <c r="DR65" s="44">
        <f t="shared" si="47"/>
        <v>0</v>
      </c>
      <c r="DS65" s="44">
        <f t="shared" si="47"/>
        <v>0</v>
      </c>
      <c r="DT65" s="44">
        <f t="shared" si="47"/>
        <v>0</v>
      </c>
      <c r="DU65" s="44">
        <f t="shared" si="47"/>
        <v>0</v>
      </c>
      <c r="DV65" s="44">
        <f t="shared" si="48"/>
        <v>0</v>
      </c>
      <c r="DW65" s="44">
        <f t="shared" si="48"/>
        <v>0</v>
      </c>
      <c r="DX65" s="44">
        <f t="shared" si="48"/>
        <v>0</v>
      </c>
      <c r="DY65" s="44">
        <f t="shared" si="48"/>
        <v>0</v>
      </c>
      <c r="DZ65" s="44">
        <f t="shared" si="48"/>
        <v>0</v>
      </c>
      <c r="EA65" s="44">
        <f t="shared" si="48"/>
        <v>0</v>
      </c>
      <c r="EB65" s="44">
        <f t="shared" si="48"/>
        <v>18127400</v>
      </c>
      <c r="ED65" s="201" t="s">
        <v>387</v>
      </c>
      <c r="EE65" s="75">
        <f t="shared" si="29"/>
        <v>68878336</v>
      </c>
      <c r="EF65" s="75">
        <f t="shared" si="30"/>
        <v>50750936</v>
      </c>
    </row>
    <row r="66" spans="1:137" ht="21" hidden="1" customHeight="1" x14ac:dyDescent="0.25">
      <c r="A66" s="97"/>
      <c r="B66" s="186"/>
      <c r="C66" s="186" t="s">
        <v>208</v>
      </c>
      <c r="D66" s="186" t="s">
        <v>209</v>
      </c>
      <c r="E66" s="186">
        <v>520</v>
      </c>
      <c r="F66" s="187" t="s">
        <v>102</v>
      </c>
      <c r="G66" s="44">
        <f t="shared" si="39"/>
        <v>1404625000</v>
      </c>
      <c r="H66" s="45">
        <v>1530000000</v>
      </c>
      <c r="I66" s="45">
        <f t="shared" si="49"/>
        <v>125375000</v>
      </c>
      <c r="J66" s="78"/>
      <c r="K66" s="44">
        <v>30000000</v>
      </c>
      <c r="L66" s="78"/>
      <c r="M66" s="78"/>
      <c r="N66" s="78"/>
      <c r="O66" s="78"/>
      <c r="P66" s="44"/>
      <c r="Q66" s="44"/>
      <c r="R66" s="44"/>
      <c r="S66" s="44"/>
      <c r="T66" s="44"/>
      <c r="U66" s="44"/>
      <c r="V66" s="44"/>
      <c r="W66" s="44"/>
      <c r="X66" s="44"/>
      <c r="Y66" s="44">
        <f>1200000000+100000000+74625000</f>
        <v>1374625000</v>
      </c>
      <c r="Z66" s="44"/>
      <c r="AA66" s="44"/>
      <c r="AB66" s="44"/>
      <c r="AC66" s="44"/>
      <c r="AD66" s="44"/>
      <c r="AE66" s="44"/>
      <c r="AF66" s="44"/>
      <c r="AG66" s="46">
        <f t="shared" si="1"/>
        <v>0.980676698763015</v>
      </c>
      <c r="AH66" s="44">
        <f t="shared" si="40"/>
        <v>1377483008</v>
      </c>
      <c r="AI66" s="44"/>
      <c r="AJ66" s="44">
        <f>+'[9]Acuerdo PLAN INVERSIÓN 2021'!$J$1436</f>
        <v>9500000</v>
      </c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>
        <f>+'[6]Acuerdo PLAN INVERSIÓN 2021'!$W$4398</f>
        <v>1367983008</v>
      </c>
      <c r="AY66" s="44"/>
      <c r="AZ66" s="44"/>
      <c r="BA66" s="44"/>
      <c r="BB66" s="44"/>
      <c r="BC66" s="44"/>
      <c r="BD66" s="44"/>
      <c r="BE66" s="44"/>
      <c r="BF66" s="46">
        <f t="shared" si="12"/>
        <v>1.9323301236985002E-2</v>
      </c>
      <c r="BG66" s="44">
        <f t="shared" si="41"/>
        <v>27141992</v>
      </c>
      <c r="BH66" s="44">
        <f t="shared" si="42"/>
        <v>0</v>
      </c>
      <c r="BI66" s="44">
        <f t="shared" si="42"/>
        <v>20500000</v>
      </c>
      <c r="BJ66" s="44">
        <f t="shared" si="42"/>
        <v>0</v>
      </c>
      <c r="BK66" s="44">
        <f t="shared" si="42"/>
        <v>0</v>
      </c>
      <c r="BL66" s="44">
        <f t="shared" si="42"/>
        <v>0</v>
      </c>
      <c r="BM66" s="44">
        <f t="shared" si="42"/>
        <v>0</v>
      </c>
      <c r="BN66" s="44">
        <f t="shared" si="42"/>
        <v>0</v>
      </c>
      <c r="BO66" s="44">
        <f t="shared" si="42"/>
        <v>0</v>
      </c>
      <c r="BP66" s="44">
        <f t="shared" si="42"/>
        <v>0</v>
      </c>
      <c r="BQ66" s="44">
        <f t="shared" si="42"/>
        <v>0</v>
      </c>
      <c r="BR66" s="44">
        <f t="shared" si="42"/>
        <v>0</v>
      </c>
      <c r="BS66" s="44">
        <f t="shared" si="42"/>
        <v>0</v>
      </c>
      <c r="BT66" s="44">
        <f t="shared" si="42"/>
        <v>0</v>
      </c>
      <c r="BU66" s="44">
        <f t="shared" si="42"/>
        <v>0</v>
      </c>
      <c r="BV66" s="44">
        <f t="shared" si="42"/>
        <v>0</v>
      </c>
      <c r="BW66" s="44">
        <f t="shared" ref="BW66:BW76" si="50">+Y66-AX66</f>
        <v>6641992</v>
      </c>
      <c r="BX66" s="44">
        <f t="shared" si="43"/>
        <v>0</v>
      </c>
      <c r="BY66" s="44">
        <f t="shared" si="43"/>
        <v>0</v>
      </c>
      <c r="BZ66" s="44">
        <f t="shared" si="43"/>
        <v>0</v>
      </c>
      <c r="CA66" s="44">
        <f t="shared" si="43"/>
        <v>0</v>
      </c>
      <c r="CB66" s="44">
        <f t="shared" si="43"/>
        <v>0</v>
      </c>
      <c r="CC66" s="44">
        <f t="shared" si="43"/>
        <v>0</v>
      </c>
      <c r="CD66" s="44">
        <f t="shared" si="43"/>
        <v>0</v>
      </c>
      <c r="CE66" s="46">
        <f t="shared" si="44"/>
        <v>0.84203416997419245</v>
      </c>
      <c r="CF66" s="44">
        <f t="shared" si="45"/>
        <v>1182742246</v>
      </c>
      <c r="CG66" s="44"/>
      <c r="CH66" s="44">
        <f>+'[5]Acuerdo PLAN INVERSIÓN 2021'!$H$5254+'[5]Acuerdo PLAN INVERSIÓN 2021'!$H$5258</f>
        <v>7400184</v>
      </c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>
        <f>+'[5]Acuerdo PLAN INVERSIÓN 2021'!$H$5164-CH66</f>
        <v>1175342062</v>
      </c>
      <c r="CW66" s="44"/>
      <c r="CX66" s="44"/>
      <c r="CY66" s="44"/>
      <c r="CZ66" s="44"/>
      <c r="DA66" s="44"/>
      <c r="DB66" s="44"/>
      <c r="DC66" s="44"/>
      <c r="DD66" s="46">
        <f t="shared" si="8"/>
        <v>0.15796583002580755</v>
      </c>
      <c r="DE66" s="44">
        <f t="shared" si="46"/>
        <v>221882754</v>
      </c>
      <c r="DF66" s="44">
        <f t="shared" si="47"/>
        <v>0</v>
      </c>
      <c r="DG66" s="44">
        <f t="shared" si="47"/>
        <v>22599816</v>
      </c>
      <c r="DH66" s="44">
        <f t="shared" si="47"/>
        <v>0</v>
      </c>
      <c r="DI66" s="44">
        <f t="shared" si="47"/>
        <v>0</v>
      </c>
      <c r="DJ66" s="44">
        <f t="shared" si="47"/>
        <v>0</v>
      </c>
      <c r="DK66" s="44">
        <f t="shared" si="47"/>
        <v>0</v>
      </c>
      <c r="DL66" s="44">
        <f t="shared" si="47"/>
        <v>0</v>
      </c>
      <c r="DM66" s="44">
        <f t="shared" si="47"/>
        <v>0</v>
      </c>
      <c r="DN66" s="44">
        <f t="shared" si="47"/>
        <v>0</v>
      </c>
      <c r="DO66" s="44">
        <f t="shared" si="47"/>
        <v>0</v>
      </c>
      <c r="DP66" s="44">
        <f t="shared" si="47"/>
        <v>0</v>
      </c>
      <c r="DQ66" s="44">
        <f t="shared" si="47"/>
        <v>0</v>
      </c>
      <c r="DR66" s="44">
        <f t="shared" si="47"/>
        <v>0</v>
      </c>
      <c r="DS66" s="44">
        <f t="shared" si="47"/>
        <v>0</v>
      </c>
      <c r="DT66" s="44">
        <f t="shared" si="47"/>
        <v>0</v>
      </c>
      <c r="DU66" s="44">
        <f t="shared" ref="DU66:DU76" si="51">+Y66-CV66</f>
        <v>199282938</v>
      </c>
      <c r="DV66" s="44">
        <f t="shared" si="48"/>
        <v>0</v>
      </c>
      <c r="DW66" s="44">
        <f t="shared" si="48"/>
        <v>0</v>
      </c>
      <c r="DX66" s="44">
        <f t="shared" si="48"/>
        <v>0</v>
      </c>
      <c r="DY66" s="44">
        <f t="shared" si="48"/>
        <v>0</v>
      </c>
      <c r="DZ66" s="44">
        <f t="shared" si="48"/>
        <v>0</v>
      </c>
      <c r="EA66" s="44">
        <f t="shared" si="48"/>
        <v>0</v>
      </c>
      <c r="EB66" s="44">
        <f t="shared" si="48"/>
        <v>0</v>
      </c>
      <c r="EE66" s="75">
        <f t="shared" si="29"/>
        <v>1404625000</v>
      </c>
      <c r="EF66" s="75">
        <f t="shared" si="30"/>
        <v>1182742246</v>
      </c>
    </row>
    <row r="67" spans="1:137" ht="30.75" hidden="1" customHeight="1" x14ac:dyDescent="0.25">
      <c r="A67" s="97"/>
      <c r="B67" s="186"/>
      <c r="C67" s="186" t="s">
        <v>210</v>
      </c>
      <c r="D67" s="186" t="s">
        <v>211</v>
      </c>
      <c r="E67" s="186">
        <v>520</v>
      </c>
      <c r="F67" s="187" t="s">
        <v>212</v>
      </c>
      <c r="G67" s="44">
        <f t="shared" si="39"/>
        <v>178800000</v>
      </c>
      <c r="H67" s="45">
        <v>200000000</v>
      </c>
      <c r="I67" s="45">
        <f t="shared" si="49"/>
        <v>21200000</v>
      </c>
      <c r="J67" s="78"/>
      <c r="K67" s="44">
        <f>100000000+30000000</f>
        <v>130000000</v>
      </c>
      <c r="L67" s="44"/>
      <c r="M67" s="44"/>
      <c r="N67" s="78"/>
      <c r="O67" s="78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>
        <v>40000000</v>
      </c>
      <c r="AB67" s="44"/>
      <c r="AC67" s="44"/>
      <c r="AD67" s="44"/>
      <c r="AE67" s="44"/>
      <c r="AF67" s="44">
        <f>3000000+5800000</f>
        <v>8800000</v>
      </c>
      <c r="AG67" s="46">
        <f t="shared" si="1"/>
        <v>0.99981356823266221</v>
      </c>
      <c r="AH67" s="44">
        <f t="shared" si="40"/>
        <v>178766666</v>
      </c>
      <c r="AI67" s="44"/>
      <c r="AJ67" s="44">
        <f>+'[7]Acuerdo PLAN INVERSIÓN 2021'!$J$1876</f>
        <v>130000000</v>
      </c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>
        <f>+'[7]Acuerdo PLAN INVERSIÓN 2021'!$X$1876</f>
        <v>40000000</v>
      </c>
      <c r="BA67" s="44"/>
      <c r="BB67" s="44"/>
      <c r="BC67" s="44"/>
      <c r="BD67" s="44"/>
      <c r="BE67" s="44">
        <f>+'[2]Acuerdo PLAN INVERSIÓN 2021'!$AF$3109</f>
        <v>8766666</v>
      </c>
      <c r="BF67" s="46">
        <f t="shared" si="12"/>
        <v>1.8643176733779132E-4</v>
      </c>
      <c r="BG67" s="44">
        <f t="shared" si="41"/>
        <v>33334</v>
      </c>
      <c r="BH67" s="44">
        <f t="shared" ref="BH67:BV76" si="52">+J67-AI67</f>
        <v>0</v>
      </c>
      <c r="BI67" s="44">
        <f t="shared" si="52"/>
        <v>0</v>
      </c>
      <c r="BJ67" s="44">
        <f t="shared" si="52"/>
        <v>0</v>
      </c>
      <c r="BK67" s="44">
        <f t="shared" si="52"/>
        <v>0</v>
      </c>
      <c r="BL67" s="44">
        <f t="shared" si="52"/>
        <v>0</v>
      </c>
      <c r="BM67" s="44">
        <f t="shared" si="52"/>
        <v>0</v>
      </c>
      <c r="BN67" s="44">
        <f t="shared" si="52"/>
        <v>0</v>
      </c>
      <c r="BO67" s="44">
        <f t="shared" si="52"/>
        <v>0</v>
      </c>
      <c r="BP67" s="44">
        <f t="shared" si="52"/>
        <v>0</v>
      </c>
      <c r="BQ67" s="44">
        <f t="shared" si="52"/>
        <v>0</v>
      </c>
      <c r="BR67" s="44">
        <f t="shared" si="52"/>
        <v>0</v>
      </c>
      <c r="BS67" s="44">
        <f t="shared" si="52"/>
        <v>0</v>
      </c>
      <c r="BT67" s="44">
        <f t="shared" si="52"/>
        <v>0</v>
      </c>
      <c r="BU67" s="44">
        <f t="shared" si="52"/>
        <v>0</v>
      </c>
      <c r="BV67" s="44">
        <f t="shared" si="52"/>
        <v>0</v>
      </c>
      <c r="BW67" s="44">
        <f t="shared" si="50"/>
        <v>0</v>
      </c>
      <c r="BX67" s="44">
        <f t="shared" si="43"/>
        <v>0</v>
      </c>
      <c r="BY67" s="44">
        <f t="shared" si="43"/>
        <v>0</v>
      </c>
      <c r="BZ67" s="44">
        <f t="shared" si="43"/>
        <v>0</v>
      </c>
      <c r="CA67" s="44">
        <f t="shared" si="43"/>
        <v>0</v>
      </c>
      <c r="CB67" s="44">
        <f t="shared" si="43"/>
        <v>0</v>
      </c>
      <c r="CC67" s="44">
        <f t="shared" si="43"/>
        <v>0</v>
      </c>
      <c r="CD67" s="44">
        <f t="shared" si="43"/>
        <v>33334</v>
      </c>
      <c r="CE67" s="46">
        <f t="shared" si="44"/>
        <v>0.55330573266219241</v>
      </c>
      <c r="CF67" s="44">
        <f t="shared" si="45"/>
        <v>98931065</v>
      </c>
      <c r="CG67" s="44"/>
      <c r="CH67" s="44">
        <f>+'[5]Acuerdo PLAN INVERSIÓN 2021'!$H$5375-DC67</f>
        <v>90164399</v>
      </c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>
        <f>+'[5]Acuerdo PLAN INVERSIÓN 2021'!$H$5385+'[5]Acuerdo PLAN INVERSIÓN 2021'!$H$5415</f>
        <v>8766666</v>
      </c>
      <c r="DD67" s="46">
        <f t="shared" si="8"/>
        <v>0.44669426733780759</v>
      </c>
      <c r="DE67" s="44">
        <f t="shared" si="46"/>
        <v>79868935</v>
      </c>
      <c r="DF67" s="44">
        <f t="shared" ref="DF67:DT76" si="53">+J67-CG67</f>
        <v>0</v>
      </c>
      <c r="DG67" s="44">
        <f t="shared" si="53"/>
        <v>39835601</v>
      </c>
      <c r="DH67" s="44">
        <f t="shared" si="53"/>
        <v>0</v>
      </c>
      <c r="DI67" s="44">
        <f t="shared" si="53"/>
        <v>0</v>
      </c>
      <c r="DJ67" s="44">
        <f t="shared" si="53"/>
        <v>0</v>
      </c>
      <c r="DK67" s="44">
        <f t="shared" si="53"/>
        <v>0</v>
      </c>
      <c r="DL67" s="44">
        <f t="shared" si="53"/>
        <v>0</v>
      </c>
      <c r="DM67" s="44">
        <f t="shared" si="53"/>
        <v>0</v>
      </c>
      <c r="DN67" s="44">
        <f t="shared" si="53"/>
        <v>0</v>
      </c>
      <c r="DO67" s="44">
        <f t="shared" si="53"/>
        <v>0</v>
      </c>
      <c r="DP67" s="44">
        <f t="shared" si="53"/>
        <v>0</v>
      </c>
      <c r="DQ67" s="44">
        <f t="shared" si="53"/>
        <v>0</v>
      </c>
      <c r="DR67" s="44">
        <f t="shared" si="53"/>
        <v>0</v>
      </c>
      <c r="DS67" s="44">
        <f t="shared" si="53"/>
        <v>0</v>
      </c>
      <c r="DT67" s="44">
        <f t="shared" si="53"/>
        <v>0</v>
      </c>
      <c r="DU67" s="44">
        <f t="shared" si="51"/>
        <v>0</v>
      </c>
      <c r="DV67" s="44">
        <f t="shared" si="48"/>
        <v>0</v>
      </c>
      <c r="DW67" s="44">
        <f t="shared" si="48"/>
        <v>40000000</v>
      </c>
      <c r="DX67" s="44">
        <f t="shared" si="48"/>
        <v>0</v>
      </c>
      <c r="DY67" s="44">
        <f t="shared" si="48"/>
        <v>0</v>
      </c>
      <c r="DZ67" s="44">
        <f t="shared" si="48"/>
        <v>0</v>
      </c>
      <c r="EA67" s="44">
        <f t="shared" si="48"/>
        <v>0</v>
      </c>
      <c r="EB67" s="44">
        <f t="shared" si="48"/>
        <v>33334</v>
      </c>
      <c r="EE67" s="75">
        <f t="shared" si="29"/>
        <v>178800000</v>
      </c>
      <c r="EF67" s="75">
        <f t="shared" si="30"/>
        <v>98931065</v>
      </c>
    </row>
    <row r="68" spans="1:137" ht="19.149999999999999" hidden="1" customHeight="1" x14ac:dyDescent="0.25">
      <c r="A68" s="93" t="s">
        <v>169</v>
      </c>
      <c r="B68" s="186" t="s">
        <v>213</v>
      </c>
      <c r="C68" s="186" t="s">
        <v>214</v>
      </c>
      <c r="D68" s="186" t="s">
        <v>215</v>
      </c>
      <c r="E68" s="186">
        <v>520</v>
      </c>
      <c r="F68" s="187" t="s">
        <v>102</v>
      </c>
      <c r="G68" s="44">
        <f t="shared" si="39"/>
        <v>103866666</v>
      </c>
      <c r="H68" s="45">
        <v>154600000</v>
      </c>
      <c r="I68" s="45">
        <f t="shared" si="49"/>
        <v>50733334</v>
      </c>
      <c r="J68" s="78"/>
      <c r="K68" s="44">
        <f>50000000+10000000</f>
        <v>60000000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>
        <f>10000000</f>
        <v>10000000</v>
      </c>
      <c r="AB68" s="44">
        <v>33866666</v>
      </c>
      <c r="AC68" s="44"/>
      <c r="AD68" s="44"/>
      <c r="AE68" s="44"/>
      <c r="AF68" s="44"/>
      <c r="AG68" s="46">
        <f t="shared" si="1"/>
        <v>1</v>
      </c>
      <c r="AH68" s="44">
        <f t="shared" si="40"/>
        <v>103866666</v>
      </c>
      <c r="AI68" s="44"/>
      <c r="AJ68" s="44">
        <f>+'[4]Acuerdo PLAN INVERSIÓN 2021'!$J$2245</f>
        <v>60000000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>
        <f>+'[4]Acuerdo PLAN INVERSIÓN 2021'!$X$2245</f>
        <v>10000000</v>
      </c>
      <c r="BA68" s="44">
        <f>+'[1]Acuerdo PLAN INVERSIÓN 2021'!$Y$3839</f>
        <v>33866666</v>
      </c>
      <c r="BB68" s="44"/>
      <c r="BC68" s="44"/>
      <c r="BD68" s="44"/>
      <c r="BE68" s="44"/>
      <c r="BF68" s="46">
        <f t="shared" si="12"/>
        <v>0</v>
      </c>
      <c r="BG68" s="44">
        <f t="shared" si="41"/>
        <v>0</v>
      </c>
      <c r="BH68" s="44">
        <f t="shared" si="52"/>
        <v>0</v>
      </c>
      <c r="BI68" s="44">
        <f t="shared" si="52"/>
        <v>0</v>
      </c>
      <c r="BJ68" s="44">
        <f t="shared" si="52"/>
        <v>0</v>
      </c>
      <c r="BK68" s="44">
        <f t="shared" si="52"/>
        <v>0</v>
      </c>
      <c r="BL68" s="44">
        <f t="shared" si="52"/>
        <v>0</v>
      </c>
      <c r="BM68" s="44">
        <f t="shared" si="52"/>
        <v>0</v>
      </c>
      <c r="BN68" s="44">
        <f t="shared" si="52"/>
        <v>0</v>
      </c>
      <c r="BO68" s="44">
        <f t="shared" si="52"/>
        <v>0</v>
      </c>
      <c r="BP68" s="44">
        <f t="shared" si="52"/>
        <v>0</v>
      </c>
      <c r="BQ68" s="44">
        <f t="shared" si="52"/>
        <v>0</v>
      </c>
      <c r="BR68" s="44">
        <f t="shared" si="52"/>
        <v>0</v>
      </c>
      <c r="BS68" s="44">
        <f t="shared" si="52"/>
        <v>0</v>
      </c>
      <c r="BT68" s="44">
        <f t="shared" si="52"/>
        <v>0</v>
      </c>
      <c r="BU68" s="44">
        <f t="shared" si="52"/>
        <v>0</v>
      </c>
      <c r="BV68" s="44">
        <f t="shared" si="52"/>
        <v>0</v>
      </c>
      <c r="BW68" s="44">
        <f t="shared" si="50"/>
        <v>0</v>
      </c>
      <c r="BX68" s="44">
        <f t="shared" si="43"/>
        <v>0</v>
      </c>
      <c r="BY68" s="44">
        <f t="shared" si="43"/>
        <v>0</v>
      </c>
      <c r="BZ68" s="44">
        <f t="shared" si="43"/>
        <v>0</v>
      </c>
      <c r="CA68" s="44">
        <f t="shared" si="43"/>
        <v>0</v>
      </c>
      <c r="CB68" s="44">
        <f t="shared" si="43"/>
        <v>0</v>
      </c>
      <c r="CC68" s="44">
        <f t="shared" si="43"/>
        <v>0</v>
      </c>
      <c r="CD68" s="44">
        <f t="shared" si="43"/>
        <v>0</v>
      </c>
      <c r="CE68" s="46">
        <f t="shared" si="44"/>
        <v>0.95986768266924061</v>
      </c>
      <c r="CF68" s="44">
        <f t="shared" si="45"/>
        <v>99698256</v>
      </c>
      <c r="CG68" s="44"/>
      <c r="CH68" s="4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>
        <f>+'[3]Acuerdo PLAN INVERSIÓN 2021'!$H$2715</f>
        <v>10000000</v>
      </c>
      <c r="CY68" s="44">
        <f>+'[5]Acuerdo PLAN INVERSIÓN 2021'!$H$5447</f>
        <v>29706596</v>
      </c>
      <c r="CZ68" s="44"/>
      <c r="DA68" s="44"/>
      <c r="DB68" s="44"/>
      <c r="DC68" s="44"/>
      <c r="DD68" s="46">
        <f t="shared" si="8"/>
        <v>4.0132317330759393E-2</v>
      </c>
      <c r="DE68" s="44">
        <f t="shared" si="46"/>
        <v>4168410</v>
      </c>
      <c r="DF68" s="44">
        <f t="shared" si="53"/>
        <v>0</v>
      </c>
      <c r="DG68" s="44">
        <f t="shared" si="53"/>
        <v>8340</v>
      </c>
      <c r="DH68" s="44">
        <f t="shared" si="53"/>
        <v>0</v>
      </c>
      <c r="DI68" s="44">
        <f t="shared" si="53"/>
        <v>0</v>
      </c>
      <c r="DJ68" s="44">
        <f t="shared" si="53"/>
        <v>0</v>
      </c>
      <c r="DK68" s="44">
        <f t="shared" si="53"/>
        <v>0</v>
      </c>
      <c r="DL68" s="44">
        <f t="shared" si="53"/>
        <v>0</v>
      </c>
      <c r="DM68" s="44">
        <f t="shared" si="53"/>
        <v>0</v>
      </c>
      <c r="DN68" s="44">
        <f t="shared" si="53"/>
        <v>0</v>
      </c>
      <c r="DO68" s="44">
        <f t="shared" si="53"/>
        <v>0</v>
      </c>
      <c r="DP68" s="44">
        <f t="shared" si="53"/>
        <v>0</v>
      </c>
      <c r="DQ68" s="44">
        <f t="shared" si="53"/>
        <v>0</v>
      </c>
      <c r="DR68" s="44">
        <f t="shared" si="53"/>
        <v>0</v>
      </c>
      <c r="DS68" s="44">
        <f t="shared" si="53"/>
        <v>0</v>
      </c>
      <c r="DT68" s="44">
        <f t="shared" si="53"/>
        <v>0</v>
      </c>
      <c r="DU68" s="44">
        <f t="shared" si="51"/>
        <v>0</v>
      </c>
      <c r="DV68" s="44">
        <f t="shared" si="48"/>
        <v>0</v>
      </c>
      <c r="DW68" s="44">
        <f t="shared" si="48"/>
        <v>0</v>
      </c>
      <c r="DX68" s="44">
        <f t="shared" si="48"/>
        <v>4160070</v>
      </c>
      <c r="DY68" s="44">
        <f t="shared" si="48"/>
        <v>0</v>
      </c>
      <c r="DZ68" s="44">
        <f t="shared" si="48"/>
        <v>0</v>
      </c>
      <c r="EA68" s="44">
        <f t="shared" si="48"/>
        <v>0</v>
      </c>
      <c r="EB68" s="44">
        <f t="shared" si="48"/>
        <v>0</v>
      </c>
      <c r="EE68" s="75">
        <f t="shared" si="29"/>
        <v>103866666</v>
      </c>
      <c r="EF68" s="75">
        <f t="shared" si="30"/>
        <v>99698256</v>
      </c>
    </row>
    <row r="69" spans="1:137" ht="20.45" hidden="1" customHeight="1" x14ac:dyDescent="0.25">
      <c r="A69" s="97"/>
      <c r="B69" s="186"/>
      <c r="C69" s="186" t="s">
        <v>216</v>
      </c>
      <c r="D69" s="186" t="s">
        <v>217</v>
      </c>
      <c r="E69" s="186">
        <v>520</v>
      </c>
      <c r="F69" s="187" t="s">
        <v>102</v>
      </c>
      <c r="G69" s="44">
        <f t="shared" si="39"/>
        <v>158894278</v>
      </c>
      <c r="H69" s="45">
        <v>148300000</v>
      </c>
      <c r="I69" s="45">
        <f t="shared" si="49"/>
        <v>-10594278</v>
      </c>
      <c r="J69" s="78"/>
      <c r="K69" s="44">
        <f>50000000+14174278+12091750</f>
        <v>76266028</v>
      </c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80"/>
      <c r="AA69" s="44">
        <f>20000000+20000000</f>
        <v>40000000</v>
      </c>
      <c r="AB69" s="44">
        <f>30000000+12628250</f>
        <v>42628250</v>
      </c>
      <c r="AC69" s="44"/>
      <c r="AD69" s="44"/>
      <c r="AE69" s="44"/>
      <c r="AF69" s="44"/>
      <c r="AG69" s="46">
        <f t="shared" si="1"/>
        <v>1</v>
      </c>
      <c r="AH69" s="44">
        <f t="shared" si="40"/>
        <v>158894278</v>
      </c>
      <c r="AI69" s="44"/>
      <c r="AJ69" s="44">
        <f>+'[1]Acuerdo PLAN INVERSIÓN 2021'!$J$3872</f>
        <v>76266028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>
        <f>+'[1]Acuerdo PLAN INVERSIÓN 2021'!$X$3872</f>
        <v>40000000</v>
      </c>
      <c r="BA69" s="44">
        <f>+'[1]Acuerdo PLAN INVERSIÓN 2021'!$Y$3872</f>
        <v>42628250</v>
      </c>
      <c r="BB69" s="44"/>
      <c r="BC69" s="44"/>
      <c r="BD69" s="44"/>
      <c r="BE69" s="44"/>
      <c r="BF69" s="46">
        <f t="shared" si="12"/>
        <v>0</v>
      </c>
      <c r="BG69" s="44">
        <f t="shared" si="41"/>
        <v>0</v>
      </c>
      <c r="BH69" s="44">
        <f t="shared" si="52"/>
        <v>0</v>
      </c>
      <c r="BI69" s="44">
        <f t="shared" si="52"/>
        <v>0</v>
      </c>
      <c r="BJ69" s="44">
        <f t="shared" si="52"/>
        <v>0</v>
      </c>
      <c r="BK69" s="44">
        <f t="shared" si="52"/>
        <v>0</v>
      </c>
      <c r="BL69" s="44">
        <f t="shared" si="52"/>
        <v>0</v>
      </c>
      <c r="BM69" s="44">
        <f t="shared" si="52"/>
        <v>0</v>
      </c>
      <c r="BN69" s="44">
        <f t="shared" si="52"/>
        <v>0</v>
      </c>
      <c r="BO69" s="44">
        <f t="shared" si="52"/>
        <v>0</v>
      </c>
      <c r="BP69" s="44">
        <f t="shared" si="52"/>
        <v>0</v>
      </c>
      <c r="BQ69" s="44">
        <f t="shared" si="52"/>
        <v>0</v>
      </c>
      <c r="BR69" s="44">
        <f t="shared" si="52"/>
        <v>0</v>
      </c>
      <c r="BS69" s="44">
        <f t="shared" si="52"/>
        <v>0</v>
      </c>
      <c r="BT69" s="44">
        <f t="shared" si="52"/>
        <v>0</v>
      </c>
      <c r="BU69" s="44">
        <f t="shared" si="52"/>
        <v>0</v>
      </c>
      <c r="BV69" s="44">
        <f t="shared" si="52"/>
        <v>0</v>
      </c>
      <c r="BW69" s="44">
        <f t="shared" si="50"/>
        <v>0</v>
      </c>
      <c r="BX69" s="44">
        <f t="shared" si="43"/>
        <v>0</v>
      </c>
      <c r="BY69" s="44">
        <f t="shared" si="43"/>
        <v>0</v>
      </c>
      <c r="BZ69" s="44">
        <f t="shared" si="43"/>
        <v>0</v>
      </c>
      <c r="CA69" s="44">
        <f t="shared" si="43"/>
        <v>0</v>
      </c>
      <c r="CB69" s="44">
        <f t="shared" si="43"/>
        <v>0</v>
      </c>
      <c r="CC69" s="44">
        <f t="shared" si="43"/>
        <v>0</v>
      </c>
      <c r="CD69" s="44">
        <f t="shared" si="43"/>
        <v>0</v>
      </c>
      <c r="CE69" s="46">
        <f t="shared" si="44"/>
        <v>0.93749276484330035</v>
      </c>
      <c r="CF69" s="44">
        <f t="shared" si="45"/>
        <v>148962236</v>
      </c>
      <c r="CG69" s="44"/>
      <c r="CH69" s="44">
        <f>+'[5]Acuerdo PLAN INVERSIÓN 2021'!$H$5454-CX69-CY69</f>
        <v>75530428</v>
      </c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>
        <f>+'[5]Acuerdo PLAN INVERSIÓN 2021'!$H$5470+'[5]Acuerdo PLAN INVERSIÓN 2021'!$H$5477+'[5]Acuerdo PLAN INVERSIÓN 2021'!$H$5487+'[5]Acuerdo PLAN INVERSIÓN 2021'!$H$5496+'[5]Acuerdo PLAN INVERSIÓN 2021'!$H$5505+'[5]Acuerdo PLAN INVERSIÓN 2021'!$H$5509+'[5]Acuerdo PLAN INVERSIÓN 2021'!$H$5513</f>
        <v>31486196</v>
      </c>
      <c r="CY69" s="44">
        <f>+'[5]Acuerdo PLAN INVERSIÓN 2021'!$H$5480+'[5]Acuerdo PLAN INVERSIÓN 2021'!$H$5491+'[5]Acuerdo PLAN INVERSIÓN 2021'!$H$5517</f>
        <v>41945612</v>
      </c>
      <c r="CZ69" s="44"/>
      <c r="DA69" s="44"/>
      <c r="DB69" s="44"/>
      <c r="DC69" s="44"/>
      <c r="DD69" s="46">
        <f t="shared" si="8"/>
        <v>6.2507235156699648E-2</v>
      </c>
      <c r="DE69" s="44">
        <f t="shared" si="46"/>
        <v>9932042</v>
      </c>
      <c r="DF69" s="44">
        <f t="shared" si="53"/>
        <v>0</v>
      </c>
      <c r="DG69" s="44">
        <f t="shared" si="53"/>
        <v>735600</v>
      </c>
      <c r="DH69" s="44">
        <f t="shared" si="53"/>
        <v>0</v>
      </c>
      <c r="DI69" s="44">
        <f t="shared" si="53"/>
        <v>0</v>
      </c>
      <c r="DJ69" s="44">
        <f t="shared" si="53"/>
        <v>0</v>
      </c>
      <c r="DK69" s="44">
        <f t="shared" si="53"/>
        <v>0</v>
      </c>
      <c r="DL69" s="44">
        <f t="shared" si="53"/>
        <v>0</v>
      </c>
      <c r="DM69" s="44">
        <f t="shared" si="53"/>
        <v>0</v>
      </c>
      <c r="DN69" s="44">
        <f t="shared" si="53"/>
        <v>0</v>
      </c>
      <c r="DO69" s="44">
        <f t="shared" si="53"/>
        <v>0</v>
      </c>
      <c r="DP69" s="44">
        <f t="shared" si="53"/>
        <v>0</v>
      </c>
      <c r="DQ69" s="44">
        <f t="shared" si="53"/>
        <v>0</v>
      </c>
      <c r="DR69" s="44">
        <f t="shared" si="53"/>
        <v>0</v>
      </c>
      <c r="DS69" s="44">
        <f t="shared" si="53"/>
        <v>0</v>
      </c>
      <c r="DT69" s="44">
        <f t="shared" si="53"/>
        <v>0</v>
      </c>
      <c r="DU69" s="44">
        <f t="shared" si="51"/>
        <v>0</v>
      </c>
      <c r="DV69" s="44">
        <f t="shared" si="48"/>
        <v>0</v>
      </c>
      <c r="DW69" s="44">
        <f t="shared" si="48"/>
        <v>8513804</v>
      </c>
      <c r="DX69" s="44">
        <f t="shared" si="48"/>
        <v>682638</v>
      </c>
      <c r="DY69" s="44">
        <f t="shared" si="48"/>
        <v>0</v>
      </c>
      <c r="DZ69" s="44">
        <f t="shared" si="48"/>
        <v>0</v>
      </c>
      <c r="EA69" s="44">
        <f t="shared" si="48"/>
        <v>0</v>
      </c>
      <c r="EB69" s="44">
        <f t="shared" si="48"/>
        <v>0</v>
      </c>
      <c r="EE69" s="75">
        <f t="shared" si="29"/>
        <v>158894278</v>
      </c>
      <c r="EF69" s="75">
        <f t="shared" si="30"/>
        <v>148962236</v>
      </c>
    </row>
    <row r="70" spans="1:137" ht="17.45" hidden="1" customHeight="1" x14ac:dyDescent="0.25">
      <c r="A70" s="97"/>
      <c r="B70" s="186"/>
      <c r="C70" s="186" t="s">
        <v>218</v>
      </c>
      <c r="D70" s="186" t="s">
        <v>219</v>
      </c>
      <c r="E70" s="186">
        <v>520</v>
      </c>
      <c r="F70" s="187" t="s">
        <v>102</v>
      </c>
      <c r="G70" s="44">
        <f t="shared" si="39"/>
        <v>60000000</v>
      </c>
      <c r="H70" s="45">
        <v>90200000</v>
      </c>
      <c r="I70" s="45">
        <f t="shared" si="49"/>
        <v>30200000</v>
      </c>
      <c r="J70" s="78"/>
      <c r="K70" s="44">
        <f>40000000+10000000</f>
        <v>50000000</v>
      </c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80"/>
      <c r="AA70" s="44">
        <f t="shared" ref="AA70:AA75" si="54">10000000</f>
        <v>10000000</v>
      </c>
      <c r="AB70" s="44"/>
      <c r="AC70" s="44"/>
      <c r="AD70" s="44"/>
      <c r="AE70" s="44"/>
      <c r="AF70" s="44"/>
      <c r="AG70" s="46">
        <f t="shared" ref="AG70:AG129" si="55">AH70/G70</f>
        <v>0.8843333333333333</v>
      </c>
      <c r="AH70" s="44">
        <f t="shared" si="40"/>
        <v>53060000</v>
      </c>
      <c r="AI70" s="44"/>
      <c r="AJ70" s="44">
        <f>+'[5]Acuerdo PLAN INVERSIÓN 2021'!$J$5522</f>
        <v>43060000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>
        <f>+'[4]Acuerdo PLAN INVERSIÓN 2021'!$X$2297</f>
        <v>10000000</v>
      </c>
      <c r="BA70" s="44"/>
      <c r="BB70" s="44"/>
      <c r="BC70" s="44"/>
      <c r="BD70" s="44"/>
      <c r="BE70" s="44"/>
      <c r="BF70" s="46">
        <f t="shared" si="12"/>
        <v>0.1156666666666667</v>
      </c>
      <c r="BG70" s="44">
        <f t="shared" si="41"/>
        <v>6940000</v>
      </c>
      <c r="BH70" s="44">
        <f t="shared" si="52"/>
        <v>0</v>
      </c>
      <c r="BI70" s="44">
        <f t="shared" si="52"/>
        <v>6940000</v>
      </c>
      <c r="BJ70" s="44">
        <f t="shared" si="52"/>
        <v>0</v>
      </c>
      <c r="BK70" s="44">
        <f t="shared" si="52"/>
        <v>0</v>
      </c>
      <c r="BL70" s="44">
        <f t="shared" si="52"/>
        <v>0</v>
      </c>
      <c r="BM70" s="44">
        <f t="shared" si="52"/>
        <v>0</v>
      </c>
      <c r="BN70" s="44">
        <f t="shared" si="52"/>
        <v>0</v>
      </c>
      <c r="BO70" s="44">
        <f t="shared" si="52"/>
        <v>0</v>
      </c>
      <c r="BP70" s="44">
        <f t="shared" si="52"/>
        <v>0</v>
      </c>
      <c r="BQ70" s="44">
        <f t="shared" si="52"/>
        <v>0</v>
      </c>
      <c r="BR70" s="44">
        <f t="shared" si="52"/>
        <v>0</v>
      </c>
      <c r="BS70" s="44">
        <f t="shared" si="52"/>
        <v>0</v>
      </c>
      <c r="BT70" s="44">
        <f t="shared" si="52"/>
        <v>0</v>
      </c>
      <c r="BU70" s="44">
        <f t="shared" si="52"/>
        <v>0</v>
      </c>
      <c r="BV70" s="44">
        <f t="shared" si="52"/>
        <v>0</v>
      </c>
      <c r="BW70" s="44">
        <f t="shared" si="50"/>
        <v>0</v>
      </c>
      <c r="BX70" s="44">
        <f t="shared" si="43"/>
        <v>0</v>
      </c>
      <c r="BY70" s="44">
        <f t="shared" si="43"/>
        <v>0</v>
      </c>
      <c r="BZ70" s="44">
        <f t="shared" si="43"/>
        <v>0</v>
      </c>
      <c r="CA70" s="44">
        <f t="shared" si="43"/>
        <v>0</v>
      </c>
      <c r="CB70" s="44">
        <f t="shared" si="43"/>
        <v>0</v>
      </c>
      <c r="CC70" s="44">
        <f t="shared" si="43"/>
        <v>0</v>
      </c>
      <c r="CD70" s="44">
        <f t="shared" si="43"/>
        <v>0</v>
      </c>
      <c r="CE70" s="46">
        <f t="shared" si="44"/>
        <v>0.6073995333333333</v>
      </c>
      <c r="CF70" s="44">
        <f t="shared" si="45"/>
        <v>36443972</v>
      </c>
      <c r="CG70" s="44"/>
      <c r="CH70" s="44">
        <f>+'[5]Acuerdo PLAN INVERSIÓN 2021'!$H$5520</f>
        <v>36443972</v>
      </c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6">
        <f t="shared" ref="DD70:DD129" si="56">1-CE70</f>
        <v>0.3926004666666667</v>
      </c>
      <c r="DE70" s="44">
        <f t="shared" si="46"/>
        <v>23556028</v>
      </c>
      <c r="DF70" s="44">
        <f t="shared" si="53"/>
        <v>0</v>
      </c>
      <c r="DG70" s="44">
        <f t="shared" si="53"/>
        <v>13556028</v>
      </c>
      <c r="DH70" s="44">
        <f t="shared" si="53"/>
        <v>0</v>
      </c>
      <c r="DI70" s="44">
        <f t="shared" si="53"/>
        <v>0</v>
      </c>
      <c r="DJ70" s="44">
        <f t="shared" si="53"/>
        <v>0</v>
      </c>
      <c r="DK70" s="44">
        <f t="shared" si="53"/>
        <v>0</v>
      </c>
      <c r="DL70" s="44">
        <f t="shared" si="53"/>
        <v>0</v>
      </c>
      <c r="DM70" s="44">
        <f t="shared" si="53"/>
        <v>0</v>
      </c>
      <c r="DN70" s="44">
        <f t="shared" si="53"/>
        <v>0</v>
      </c>
      <c r="DO70" s="44">
        <f t="shared" si="53"/>
        <v>0</v>
      </c>
      <c r="DP70" s="44">
        <f t="shared" si="53"/>
        <v>0</v>
      </c>
      <c r="DQ70" s="44">
        <f t="shared" si="53"/>
        <v>0</v>
      </c>
      <c r="DR70" s="44">
        <f t="shared" si="53"/>
        <v>0</v>
      </c>
      <c r="DS70" s="44">
        <f t="shared" si="53"/>
        <v>0</v>
      </c>
      <c r="DT70" s="44">
        <f t="shared" si="53"/>
        <v>0</v>
      </c>
      <c r="DU70" s="44">
        <f t="shared" si="51"/>
        <v>0</v>
      </c>
      <c r="DV70" s="44">
        <f t="shared" si="48"/>
        <v>0</v>
      </c>
      <c r="DW70" s="44">
        <f t="shared" si="48"/>
        <v>10000000</v>
      </c>
      <c r="DX70" s="44">
        <f t="shared" si="48"/>
        <v>0</v>
      </c>
      <c r="DY70" s="44">
        <f t="shared" si="48"/>
        <v>0</v>
      </c>
      <c r="DZ70" s="44">
        <f t="shared" si="48"/>
        <v>0</v>
      </c>
      <c r="EA70" s="44">
        <f t="shared" si="48"/>
        <v>0</v>
      </c>
      <c r="EB70" s="44">
        <f t="shared" si="48"/>
        <v>0</v>
      </c>
      <c r="EE70" s="75">
        <f t="shared" si="29"/>
        <v>60000000</v>
      </c>
      <c r="EF70" s="75">
        <f t="shared" si="30"/>
        <v>36443972</v>
      </c>
    </row>
    <row r="71" spans="1:137" ht="35.25" hidden="1" customHeight="1" x14ac:dyDescent="0.25">
      <c r="A71" s="97"/>
      <c r="B71" s="186"/>
      <c r="C71" s="186" t="s">
        <v>220</v>
      </c>
      <c r="D71" s="186" t="s">
        <v>221</v>
      </c>
      <c r="E71" s="186">
        <v>520</v>
      </c>
      <c r="F71" s="187" t="s">
        <v>222</v>
      </c>
      <c r="G71" s="44">
        <f t="shared" si="39"/>
        <v>216876230</v>
      </c>
      <c r="H71" s="45">
        <v>167900000</v>
      </c>
      <c r="I71" s="45">
        <f t="shared" si="49"/>
        <v>-48976230</v>
      </c>
      <c r="J71" s="78"/>
      <c r="K71" s="44">
        <f>50000000+10000000</f>
        <v>60000000</v>
      </c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80"/>
      <c r="AA71" s="44">
        <f t="shared" si="54"/>
        <v>10000000</v>
      </c>
      <c r="AB71" s="44">
        <v>44686667</v>
      </c>
      <c r="AC71" s="44"/>
      <c r="AD71" s="44"/>
      <c r="AE71" s="44"/>
      <c r="AF71" s="44">
        <f>50000000+4700669+5000000+4500000+15000000+8268206+9720688+5000000</f>
        <v>102189563</v>
      </c>
      <c r="AG71" s="46">
        <f t="shared" si="55"/>
        <v>0.96559170177386433</v>
      </c>
      <c r="AH71" s="44">
        <f t="shared" si="40"/>
        <v>209413888</v>
      </c>
      <c r="AI71" s="44"/>
      <c r="AJ71" s="44">
        <f>+'[4]Acuerdo PLAN INVERSIÓN 2021'!$J$2325</f>
        <v>60000000</v>
      </c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>
        <f>+'[4]Acuerdo PLAN INVERSIÓN 2021'!$X$2325</f>
        <v>10000000</v>
      </c>
      <c r="BA71" s="44">
        <f>+'[1]Acuerdo PLAN INVERSIÓN 2021'!$Y$3959</f>
        <v>44686666</v>
      </c>
      <c r="BB71" s="44"/>
      <c r="BC71" s="44"/>
      <c r="BD71" s="44"/>
      <c r="BE71" s="44">
        <f>+'[5]Acuerdo PLAN INVERSIÓN 2021'!$AF$5572</f>
        <v>94727222</v>
      </c>
      <c r="BF71" s="46">
        <f t="shared" ref="BF71:BF129" si="57">1-AG71</f>
        <v>3.440829822613567E-2</v>
      </c>
      <c r="BG71" s="44">
        <f t="shared" si="41"/>
        <v>7462342</v>
      </c>
      <c r="BH71" s="44">
        <f t="shared" si="52"/>
        <v>0</v>
      </c>
      <c r="BI71" s="44">
        <f t="shared" si="52"/>
        <v>0</v>
      </c>
      <c r="BJ71" s="44">
        <f t="shared" si="52"/>
        <v>0</v>
      </c>
      <c r="BK71" s="44">
        <f t="shared" si="52"/>
        <v>0</v>
      </c>
      <c r="BL71" s="44">
        <f t="shared" si="52"/>
        <v>0</v>
      </c>
      <c r="BM71" s="44">
        <f t="shared" si="52"/>
        <v>0</v>
      </c>
      <c r="BN71" s="44">
        <f t="shared" si="52"/>
        <v>0</v>
      </c>
      <c r="BO71" s="44">
        <f t="shared" si="52"/>
        <v>0</v>
      </c>
      <c r="BP71" s="44">
        <f t="shared" si="52"/>
        <v>0</v>
      </c>
      <c r="BQ71" s="44">
        <f t="shared" si="52"/>
        <v>0</v>
      </c>
      <c r="BR71" s="44">
        <f t="shared" si="52"/>
        <v>0</v>
      </c>
      <c r="BS71" s="44">
        <f t="shared" si="52"/>
        <v>0</v>
      </c>
      <c r="BT71" s="44">
        <f t="shared" si="52"/>
        <v>0</v>
      </c>
      <c r="BU71" s="44">
        <f t="shared" si="52"/>
        <v>0</v>
      </c>
      <c r="BV71" s="44">
        <f t="shared" si="52"/>
        <v>0</v>
      </c>
      <c r="BW71" s="44">
        <f t="shared" si="50"/>
        <v>0</v>
      </c>
      <c r="BX71" s="44">
        <f t="shared" si="43"/>
        <v>0</v>
      </c>
      <c r="BY71" s="44">
        <f t="shared" si="43"/>
        <v>0</v>
      </c>
      <c r="BZ71" s="44">
        <f t="shared" si="43"/>
        <v>1</v>
      </c>
      <c r="CA71" s="44">
        <f t="shared" si="43"/>
        <v>0</v>
      </c>
      <c r="CB71" s="44">
        <f t="shared" si="43"/>
        <v>0</v>
      </c>
      <c r="CC71" s="44">
        <f t="shared" si="43"/>
        <v>0</v>
      </c>
      <c r="CD71" s="44">
        <f t="shared" si="43"/>
        <v>7462341</v>
      </c>
      <c r="CE71" s="46">
        <f t="shared" si="44"/>
        <v>0.90264926681914381</v>
      </c>
      <c r="CF71" s="44">
        <f t="shared" si="45"/>
        <v>195763170</v>
      </c>
      <c r="CG71" s="44"/>
      <c r="CH71" s="44">
        <f>+'[3]Acuerdo PLAN INVERSIÓN 2021'!$H$2786+'[3]Acuerdo PLAN INVERSIÓN 2021'!$H$2792+'[3]Acuerdo PLAN INVERSIÓN 2021'!$H$2817+'[3]Acuerdo PLAN INVERSIÓN 2021'!$H$2822</f>
        <v>60000000</v>
      </c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>
        <f>+'[6]Acuerdo PLAN INVERSIÓN 2021'!$H$4785</f>
        <v>9914671</v>
      </c>
      <c r="CY71" s="44">
        <f>+'[1]Acuerdo PLAN INVERSIÓN 2021'!$H$4005</f>
        <v>44686498</v>
      </c>
      <c r="CZ71" s="44"/>
      <c r="DA71" s="44"/>
      <c r="DB71" s="44"/>
      <c r="DC71" s="44">
        <f>+'[6]Acuerdo PLAN INVERSIÓN 2021'!$H$4768+'[6]Acuerdo PLAN INVERSIÓN 2021'!$H$4772+'[6]Acuerdo PLAN INVERSIÓN 2021'!$H$4775+'[6]Acuerdo PLAN INVERSIÓN 2021'!$H$4778+'[6]Acuerdo PLAN INVERSIÓN 2021'!$H$4782+'[6]Acuerdo PLAN INVERSIÓN 2021'!$H$4797+'[6]Acuerdo PLAN INVERSIÓN 2021'!$H$4800+'[6]Acuerdo PLAN INVERSIÓN 2021'!$H$4810+'[6]Acuerdo PLAN INVERSIÓN 2021'!$H$4813+'[5]Acuerdo PLAN INVERSIÓN 2021'!$H$5636</f>
        <v>81162001</v>
      </c>
      <c r="DD71" s="46">
        <f t="shared" si="56"/>
        <v>9.7350733180856186E-2</v>
      </c>
      <c r="DE71" s="44">
        <f t="shared" si="46"/>
        <v>21113060</v>
      </c>
      <c r="DF71" s="44">
        <f t="shared" si="53"/>
        <v>0</v>
      </c>
      <c r="DG71" s="44">
        <f t="shared" si="53"/>
        <v>0</v>
      </c>
      <c r="DH71" s="44">
        <f t="shared" si="53"/>
        <v>0</v>
      </c>
      <c r="DI71" s="44">
        <f t="shared" si="53"/>
        <v>0</v>
      </c>
      <c r="DJ71" s="44">
        <f t="shared" si="53"/>
        <v>0</v>
      </c>
      <c r="DK71" s="44">
        <f t="shared" si="53"/>
        <v>0</v>
      </c>
      <c r="DL71" s="44">
        <f t="shared" si="53"/>
        <v>0</v>
      </c>
      <c r="DM71" s="44">
        <f t="shared" si="53"/>
        <v>0</v>
      </c>
      <c r="DN71" s="44">
        <f t="shared" si="53"/>
        <v>0</v>
      </c>
      <c r="DO71" s="44">
        <f t="shared" si="53"/>
        <v>0</v>
      </c>
      <c r="DP71" s="44">
        <f t="shared" si="53"/>
        <v>0</v>
      </c>
      <c r="DQ71" s="44">
        <f t="shared" si="53"/>
        <v>0</v>
      </c>
      <c r="DR71" s="44">
        <f t="shared" si="53"/>
        <v>0</v>
      </c>
      <c r="DS71" s="44">
        <f t="shared" si="53"/>
        <v>0</v>
      </c>
      <c r="DT71" s="44">
        <f t="shared" si="53"/>
        <v>0</v>
      </c>
      <c r="DU71" s="44">
        <f t="shared" si="51"/>
        <v>0</v>
      </c>
      <c r="DV71" s="44">
        <f t="shared" si="48"/>
        <v>0</v>
      </c>
      <c r="DW71" s="44">
        <f t="shared" si="48"/>
        <v>85329</v>
      </c>
      <c r="DX71" s="44">
        <f t="shared" si="48"/>
        <v>169</v>
      </c>
      <c r="DY71" s="44">
        <f t="shared" si="48"/>
        <v>0</v>
      </c>
      <c r="DZ71" s="44">
        <f t="shared" si="48"/>
        <v>0</v>
      </c>
      <c r="EA71" s="44">
        <f t="shared" si="48"/>
        <v>0</v>
      </c>
      <c r="EB71" s="44">
        <f t="shared" si="48"/>
        <v>21027562</v>
      </c>
      <c r="EE71" s="75">
        <f t="shared" si="29"/>
        <v>216876230</v>
      </c>
      <c r="EF71" s="75">
        <f t="shared" si="30"/>
        <v>195763170</v>
      </c>
    </row>
    <row r="72" spans="1:137" ht="36" hidden="1" customHeight="1" x14ac:dyDescent="0.25">
      <c r="A72" s="97"/>
      <c r="B72" s="186" t="s">
        <v>223</v>
      </c>
      <c r="C72" s="186" t="s">
        <v>224</v>
      </c>
      <c r="D72" s="186" t="s">
        <v>225</v>
      </c>
      <c r="E72" s="186">
        <v>520</v>
      </c>
      <c r="F72" s="187" t="s">
        <v>102</v>
      </c>
      <c r="G72" s="44">
        <f t="shared" si="39"/>
        <v>18000000</v>
      </c>
      <c r="H72" s="45">
        <v>130000000</v>
      </c>
      <c r="I72" s="45">
        <f t="shared" si="49"/>
        <v>112000000</v>
      </c>
      <c r="J72" s="78"/>
      <c r="K72" s="44">
        <f>20000000-12000000</f>
        <v>8000000</v>
      </c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80"/>
      <c r="AA72" s="44">
        <f t="shared" si="54"/>
        <v>10000000</v>
      </c>
      <c r="AB72" s="44"/>
      <c r="AC72" s="44"/>
      <c r="AD72" s="44"/>
      <c r="AE72" s="44"/>
      <c r="AF72" s="44"/>
      <c r="AG72" s="46">
        <f t="shared" si="55"/>
        <v>1</v>
      </c>
      <c r="AH72" s="44">
        <f t="shared" si="40"/>
        <v>18000000</v>
      </c>
      <c r="AI72" s="44"/>
      <c r="AJ72" s="44">
        <f>+'[6]Acuerdo PLAN INVERSIÓN 2021'!$J$4824</f>
        <v>8000000</v>
      </c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>
        <f>+'[4]Acuerdo PLAN INVERSIÓN 2021'!$X$2364</f>
        <v>10000000</v>
      </c>
      <c r="BA72" s="44"/>
      <c r="BB72" s="44"/>
      <c r="BC72" s="44"/>
      <c r="BD72" s="44"/>
      <c r="BE72" s="44"/>
      <c r="BF72" s="46">
        <f t="shared" si="57"/>
        <v>0</v>
      </c>
      <c r="BG72" s="44">
        <f t="shared" si="41"/>
        <v>0</v>
      </c>
      <c r="BH72" s="44">
        <f t="shared" si="52"/>
        <v>0</v>
      </c>
      <c r="BI72" s="44">
        <f t="shared" si="52"/>
        <v>0</v>
      </c>
      <c r="BJ72" s="44">
        <f t="shared" si="52"/>
        <v>0</v>
      </c>
      <c r="BK72" s="44">
        <f t="shared" si="52"/>
        <v>0</v>
      </c>
      <c r="BL72" s="44">
        <f t="shared" si="52"/>
        <v>0</v>
      </c>
      <c r="BM72" s="44">
        <f t="shared" si="52"/>
        <v>0</v>
      </c>
      <c r="BN72" s="44">
        <f t="shared" si="52"/>
        <v>0</v>
      </c>
      <c r="BO72" s="44">
        <f t="shared" si="52"/>
        <v>0</v>
      </c>
      <c r="BP72" s="44">
        <f t="shared" si="52"/>
        <v>0</v>
      </c>
      <c r="BQ72" s="44">
        <f t="shared" si="52"/>
        <v>0</v>
      </c>
      <c r="BR72" s="44">
        <f t="shared" si="52"/>
        <v>0</v>
      </c>
      <c r="BS72" s="44">
        <f t="shared" si="52"/>
        <v>0</v>
      </c>
      <c r="BT72" s="44">
        <f t="shared" si="52"/>
        <v>0</v>
      </c>
      <c r="BU72" s="44">
        <f t="shared" si="52"/>
        <v>0</v>
      </c>
      <c r="BV72" s="44">
        <f t="shared" si="52"/>
        <v>0</v>
      </c>
      <c r="BW72" s="44">
        <f t="shared" si="50"/>
        <v>0</v>
      </c>
      <c r="BX72" s="44">
        <f t="shared" si="43"/>
        <v>0</v>
      </c>
      <c r="BY72" s="44">
        <f t="shared" si="43"/>
        <v>0</v>
      </c>
      <c r="BZ72" s="44">
        <f t="shared" si="43"/>
        <v>0</v>
      </c>
      <c r="CA72" s="44">
        <f t="shared" si="43"/>
        <v>0</v>
      </c>
      <c r="CB72" s="44">
        <f t="shared" si="43"/>
        <v>0</v>
      </c>
      <c r="CC72" s="44">
        <f t="shared" si="43"/>
        <v>0</v>
      </c>
      <c r="CD72" s="44">
        <f t="shared" si="43"/>
        <v>0</v>
      </c>
      <c r="CE72" s="46">
        <f t="shared" si="44"/>
        <v>0.9999999444444444</v>
      </c>
      <c r="CF72" s="44">
        <f t="shared" si="45"/>
        <v>17999999</v>
      </c>
      <c r="CG72" s="44"/>
      <c r="CH72" s="44">
        <f>+'[5]Acuerdo PLAN INVERSIÓN 2021'!$H$5649+'[5]Acuerdo PLAN INVERSIÓN 2021'!$H$5652</f>
        <v>7999999</v>
      </c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>
        <f>+'[3]Acuerdo PLAN INVERSIÓN 2021'!$H$2837</f>
        <v>10000000</v>
      </c>
      <c r="CY72" s="44"/>
      <c r="CZ72" s="44"/>
      <c r="DA72" s="44"/>
      <c r="DB72" s="44"/>
      <c r="DC72" s="44"/>
      <c r="DD72" s="46">
        <f t="shared" si="56"/>
        <v>5.5555555600328432E-8</v>
      </c>
      <c r="DE72" s="44">
        <f t="shared" si="46"/>
        <v>1</v>
      </c>
      <c r="DF72" s="44">
        <f t="shared" si="53"/>
        <v>0</v>
      </c>
      <c r="DG72" s="44">
        <f t="shared" si="53"/>
        <v>1</v>
      </c>
      <c r="DH72" s="44">
        <f t="shared" si="53"/>
        <v>0</v>
      </c>
      <c r="DI72" s="44">
        <f t="shared" si="53"/>
        <v>0</v>
      </c>
      <c r="DJ72" s="44">
        <f t="shared" si="53"/>
        <v>0</v>
      </c>
      <c r="DK72" s="44">
        <f t="shared" si="53"/>
        <v>0</v>
      </c>
      <c r="DL72" s="44">
        <f t="shared" si="53"/>
        <v>0</v>
      </c>
      <c r="DM72" s="44">
        <f t="shared" si="53"/>
        <v>0</v>
      </c>
      <c r="DN72" s="44">
        <f t="shared" si="53"/>
        <v>0</v>
      </c>
      <c r="DO72" s="44">
        <f t="shared" si="53"/>
        <v>0</v>
      </c>
      <c r="DP72" s="44">
        <f t="shared" si="53"/>
        <v>0</v>
      </c>
      <c r="DQ72" s="44">
        <f t="shared" si="53"/>
        <v>0</v>
      </c>
      <c r="DR72" s="44">
        <f t="shared" si="53"/>
        <v>0</v>
      </c>
      <c r="DS72" s="44">
        <f t="shared" si="53"/>
        <v>0</v>
      </c>
      <c r="DT72" s="44">
        <f t="shared" si="53"/>
        <v>0</v>
      </c>
      <c r="DU72" s="44">
        <f t="shared" si="51"/>
        <v>0</v>
      </c>
      <c r="DV72" s="44">
        <f t="shared" si="48"/>
        <v>0</v>
      </c>
      <c r="DW72" s="44">
        <f t="shared" si="48"/>
        <v>0</v>
      </c>
      <c r="DX72" s="44">
        <f t="shared" si="48"/>
        <v>0</v>
      </c>
      <c r="DY72" s="44">
        <f t="shared" si="48"/>
        <v>0</v>
      </c>
      <c r="DZ72" s="44">
        <f t="shared" si="48"/>
        <v>0</v>
      </c>
      <c r="EA72" s="44">
        <f t="shared" si="48"/>
        <v>0</v>
      </c>
      <c r="EB72" s="44">
        <f t="shared" si="48"/>
        <v>0</v>
      </c>
      <c r="EE72" s="75">
        <f t="shared" si="29"/>
        <v>18000000</v>
      </c>
      <c r="EF72" s="75">
        <f t="shared" si="30"/>
        <v>17999999</v>
      </c>
    </row>
    <row r="73" spans="1:137" ht="34.5" hidden="1" customHeight="1" x14ac:dyDescent="0.25">
      <c r="A73" s="97"/>
      <c r="B73" s="186"/>
      <c r="C73" s="186" t="s">
        <v>226</v>
      </c>
      <c r="D73" s="186" t="s">
        <v>227</v>
      </c>
      <c r="E73" s="186">
        <v>520</v>
      </c>
      <c r="F73" s="187" t="s">
        <v>102</v>
      </c>
      <c r="G73" s="44">
        <f t="shared" si="39"/>
        <v>15660000</v>
      </c>
      <c r="H73" s="45">
        <v>10000000</v>
      </c>
      <c r="I73" s="45">
        <f t="shared" si="49"/>
        <v>-5660000</v>
      </c>
      <c r="J73" s="78"/>
      <c r="K73" s="44">
        <f>5000000+10000000-15000000+5660000</f>
        <v>5660000</v>
      </c>
      <c r="L73" s="80"/>
      <c r="M73" s="80"/>
      <c r="N73" s="80"/>
      <c r="O73" s="80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80"/>
      <c r="AA73" s="44">
        <f t="shared" si="54"/>
        <v>10000000</v>
      </c>
      <c r="AB73" s="44"/>
      <c r="AC73" s="44"/>
      <c r="AD73" s="44"/>
      <c r="AE73" s="44"/>
      <c r="AF73" s="44"/>
      <c r="AG73" s="46">
        <f t="shared" si="55"/>
        <v>1</v>
      </c>
      <c r="AH73" s="44">
        <f t="shared" si="40"/>
        <v>15660000</v>
      </c>
      <c r="AI73" s="44"/>
      <c r="AJ73" s="44">
        <f>+'[5]Acuerdo PLAN INVERSIÓN 2021'!$J$5657</f>
        <v>5660000</v>
      </c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>
        <f>+'[5]Acuerdo PLAN INVERSIÓN 2021'!$X$5657</f>
        <v>10000000</v>
      </c>
      <c r="BA73" s="44"/>
      <c r="BB73" s="44"/>
      <c r="BC73" s="44"/>
      <c r="BD73" s="44"/>
      <c r="BE73" s="44"/>
      <c r="BF73" s="46">
        <f t="shared" si="57"/>
        <v>0</v>
      </c>
      <c r="BG73" s="44">
        <f t="shared" si="41"/>
        <v>0</v>
      </c>
      <c r="BH73" s="44">
        <f t="shared" si="52"/>
        <v>0</v>
      </c>
      <c r="BI73" s="44">
        <f t="shared" si="52"/>
        <v>0</v>
      </c>
      <c r="BJ73" s="44">
        <f t="shared" si="52"/>
        <v>0</v>
      </c>
      <c r="BK73" s="44">
        <f t="shared" si="52"/>
        <v>0</v>
      </c>
      <c r="BL73" s="44">
        <f t="shared" si="52"/>
        <v>0</v>
      </c>
      <c r="BM73" s="44">
        <f t="shared" si="52"/>
        <v>0</v>
      </c>
      <c r="BN73" s="44">
        <f t="shared" si="52"/>
        <v>0</v>
      </c>
      <c r="BO73" s="44">
        <f t="shared" si="52"/>
        <v>0</v>
      </c>
      <c r="BP73" s="44">
        <f t="shared" si="52"/>
        <v>0</v>
      </c>
      <c r="BQ73" s="44">
        <f t="shared" si="52"/>
        <v>0</v>
      </c>
      <c r="BR73" s="44">
        <f t="shared" si="52"/>
        <v>0</v>
      </c>
      <c r="BS73" s="44">
        <f t="shared" si="52"/>
        <v>0</v>
      </c>
      <c r="BT73" s="44">
        <f t="shared" si="52"/>
        <v>0</v>
      </c>
      <c r="BU73" s="44">
        <f t="shared" si="52"/>
        <v>0</v>
      </c>
      <c r="BV73" s="44">
        <f t="shared" si="52"/>
        <v>0</v>
      </c>
      <c r="BW73" s="44">
        <f t="shared" si="50"/>
        <v>0</v>
      </c>
      <c r="BX73" s="44">
        <f t="shared" si="43"/>
        <v>0</v>
      </c>
      <c r="BY73" s="44">
        <f t="shared" si="43"/>
        <v>0</v>
      </c>
      <c r="BZ73" s="44">
        <f t="shared" si="43"/>
        <v>0</v>
      </c>
      <c r="CA73" s="44">
        <f t="shared" si="43"/>
        <v>0</v>
      </c>
      <c r="CB73" s="44">
        <f t="shared" si="43"/>
        <v>0</v>
      </c>
      <c r="CC73" s="44">
        <f t="shared" si="43"/>
        <v>0</v>
      </c>
      <c r="CD73" s="44">
        <f t="shared" si="43"/>
        <v>0</v>
      </c>
      <c r="CE73" s="46">
        <f t="shared" si="44"/>
        <v>0</v>
      </c>
      <c r="CF73" s="44">
        <f t="shared" si="45"/>
        <v>0</v>
      </c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6">
        <f t="shared" si="56"/>
        <v>1</v>
      </c>
      <c r="DE73" s="44">
        <f t="shared" si="46"/>
        <v>15660000</v>
      </c>
      <c r="DF73" s="44">
        <f t="shared" si="53"/>
        <v>0</v>
      </c>
      <c r="DG73" s="44">
        <f t="shared" si="53"/>
        <v>5660000</v>
      </c>
      <c r="DH73" s="44">
        <f t="shared" si="53"/>
        <v>0</v>
      </c>
      <c r="DI73" s="44">
        <f t="shared" si="53"/>
        <v>0</v>
      </c>
      <c r="DJ73" s="44">
        <f t="shared" si="53"/>
        <v>0</v>
      </c>
      <c r="DK73" s="44">
        <f t="shared" si="53"/>
        <v>0</v>
      </c>
      <c r="DL73" s="44">
        <f t="shared" si="53"/>
        <v>0</v>
      </c>
      <c r="DM73" s="44">
        <f t="shared" si="53"/>
        <v>0</v>
      </c>
      <c r="DN73" s="44">
        <f t="shared" si="53"/>
        <v>0</v>
      </c>
      <c r="DO73" s="44">
        <f t="shared" si="53"/>
        <v>0</v>
      </c>
      <c r="DP73" s="44">
        <f t="shared" si="53"/>
        <v>0</v>
      </c>
      <c r="DQ73" s="44">
        <f t="shared" si="53"/>
        <v>0</v>
      </c>
      <c r="DR73" s="44">
        <f t="shared" si="53"/>
        <v>0</v>
      </c>
      <c r="DS73" s="44">
        <f t="shared" si="53"/>
        <v>0</v>
      </c>
      <c r="DT73" s="44">
        <f t="shared" si="53"/>
        <v>0</v>
      </c>
      <c r="DU73" s="44">
        <f t="shared" si="51"/>
        <v>0</v>
      </c>
      <c r="DV73" s="44">
        <f t="shared" si="48"/>
        <v>0</v>
      </c>
      <c r="DW73" s="44">
        <f t="shared" si="48"/>
        <v>10000000</v>
      </c>
      <c r="DX73" s="44">
        <f t="shared" si="48"/>
        <v>0</v>
      </c>
      <c r="DY73" s="44">
        <f t="shared" si="48"/>
        <v>0</v>
      </c>
      <c r="DZ73" s="44">
        <f t="shared" si="48"/>
        <v>0</v>
      </c>
      <c r="EA73" s="44">
        <f t="shared" si="48"/>
        <v>0</v>
      </c>
      <c r="EB73" s="44">
        <f t="shared" si="48"/>
        <v>0</v>
      </c>
      <c r="EE73" s="75">
        <f t="shared" si="29"/>
        <v>15660000</v>
      </c>
      <c r="EF73" s="75">
        <f t="shared" si="30"/>
        <v>0</v>
      </c>
    </row>
    <row r="74" spans="1:137" ht="33" hidden="1" customHeight="1" x14ac:dyDescent="0.25">
      <c r="A74" s="97"/>
      <c r="B74" s="186"/>
      <c r="C74" s="186" t="s">
        <v>228</v>
      </c>
      <c r="D74" s="186" t="s">
        <v>229</v>
      </c>
      <c r="E74" s="186">
        <v>520</v>
      </c>
      <c r="F74" s="187" t="s">
        <v>102</v>
      </c>
      <c r="G74" s="44">
        <f t="shared" si="39"/>
        <v>10000000</v>
      </c>
      <c r="H74" s="45">
        <v>8000000</v>
      </c>
      <c r="I74" s="45">
        <f t="shared" si="49"/>
        <v>-2000000</v>
      </c>
      <c r="J74" s="78"/>
      <c r="K74" s="44"/>
      <c r="L74" s="80"/>
      <c r="M74" s="80"/>
      <c r="N74" s="80"/>
      <c r="O74" s="80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80"/>
      <c r="AA74" s="44">
        <f t="shared" si="54"/>
        <v>10000000</v>
      </c>
      <c r="AB74" s="44"/>
      <c r="AC74" s="44"/>
      <c r="AD74" s="44"/>
      <c r="AE74" s="44"/>
      <c r="AF74" s="44"/>
      <c r="AG74" s="46">
        <f t="shared" si="55"/>
        <v>0</v>
      </c>
      <c r="AH74" s="44">
        <f t="shared" si="40"/>
        <v>0</v>
      </c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6">
        <f t="shared" si="57"/>
        <v>1</v>
      </c>
      <c r="BG74" s="44">
        <f t="shared" si="41"/>
        <v>10000000</v>
      </c>
      <c r="BH74" s="44">
        <f t="shared" si="52"/>
        <v>0</v>
      </c>
      <c r="BI74" s="44">
        <f t="shared" si="52"/>
        <v>0</v>
      </c>
      <c r="BJ74" s="44">
        <f t="shared" si="52"/>
        <v>0</v>
      </c>
      <c r="BK74" s="44">
        <f t="shared" si="52"/>
        <v>0</v>
      </c>
      <c r="BL74" s="44">
        <f t="shared" si="52"/>
        <v>0</v>
      </c>
      <c r="BM74" s="44">
        <f t="shared" si="52"/>
        <v>0</v>
      </c>
      <c r="BN74" s="44">
        <f t="shared" si="52"/>
        <v>0</v>
      </c>
      <c r="BO74" s="44">
        <f t="shared" si="52"/>
        <v>0</v>
      </c>
      <c r="BP74" s="44">
        <f t="shared" si="52"/>
        <v>0</v>
      </c>
      <c r="BQ74" s="44">
        <f t="shared" si="52"/>
        <v>0</v>
      </c>
      <c r="BR74" s="44">
        <f t="shared" si="52"/>
        <v>0</v>
      </c>
      <c r="BS74" s="44">
        <f t="shared" si="52"/>
        <v>0</v>
      </c>
      <c r="BT74" s="44">
        <f t="shared" si="52"/>
        <v>0</v>
      </c>
      <c r="BU74" s="44">
        <f t="shared" si="52"/>
        <v>0</v>
      </c>
      <c r="BV74" s="44">
        <f t="shared" si="52"/>
        <v>0</v>
      </c>
      <c r="BW74" s="44">
        <f t="shared" si="50"/>
        <v>0</v>
      </c>
      <c r="BX74" s="44">
        <f t="shared" si="43"/>
        <v>0</v>
      </c>
      <c r="BY74" s="44">
        <f t="shared" si="43"/>
        <v>10000000</v>
      </c>
      <c r="BZ74" s="44">
        <f t="shared" si="43"/>
        <v>0</v>
      </c>
      <c r="CA74" s="44">
        <f t="shared" si="43"/>
        <v>0</v>
      </c>
      <c r="CB74" s="44">
        <f t="shared" si="43"/>
        <v>0</v>
      </c>
      <c r="CC74" s="44">
        <f t="shared" si="43"/>
        <v>0</v>
      </c>
      <c r="CD74" s="44">
        <f t="shared" si="43"/>
        <v>0</v>
      </c>
      <c r="CE74" s="46">
        <f t="shared" si="44"/>
        <v>0</v>
      </c>
      <c r="CF74" s="44">
        <f t="shared" si="45"/>
        <v>0</v>
      </c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6">
        <f t="shared" si="56"/>
        <v>1</v>
      </c>
      <c r="DE74" s="44">
        <f t="shared" si="46"/>
        <v>10000000</v>
      </c>
      <c r="DF74" s="44">
        <f t="shared" si="53"/>
        <v>0</v>
      </c>
      <c r="DG74" s="44">
        <f t="shared" si="53"/>
        <v>0</v>
      </c>
      <c r="DH74" s="44">
        <f t="shared" si="53"/>
        <v>0</v>
      </c>
      <c r="DI74" s="44">
        <f t="shared" si="53"/>
        <v>0</v>
      </c>
      <c r="DJ74" s="44">
        <f t="shared" si="53"/>
        <v>0</v>
      </c>
      <c r="DK74" s="44">
        <f t="shared" si="53"/>
        <v>0</v>
      </c>
      <c r="DL74" s="44">
        <f t="shared" si="53"/>
        <v>0</v>
      </c>
      <c r="DM74" s="44">
        <f t="shared" si="53"/>
        <v>0</v>
      </c>
      <c r="DN74" s="44">
        <f t="shared" si="53"/>
        <v>0</v>
      </c>
      <c r="DO74" s="44">
        <f t="shared" si="53"/>
        <v>0</v>
      </c>
      <c r="DP74" s="44">
        <f t="shared" si="53"/>
        <v>0</v>
      </c>
      <c r="DQ74" s="44">
        <f t="shared" si="53"/>
        <v>0</v>
      </c>
      <c r="DR74" s="44">
        <f t="shared" si="53"/>
        <v>0</v>
      </c>
      <c r="DS74" s="44">
        <f t="shared" si="53"/>
        <v>0</v>
      </c>
      <c r="DT74" s="44">
        <f t="shared" si="53"/>
        <v>0</v>
      </c>
      <c r="DU74" s="44">
        <f t="shared" si="51"/>
        <v>0</v>
      </c>
      <c r="DV74" s="44">
        <f t="shared" si="48"/>
        <v>0</v>
      </c>
      <c r="DW74" s="44">
        <f t="shared" si="48"/>
        <v>10000000</v>
      </c>
      <c r="DX74" s="44">
        <f t="shared" si="48"/>
        <v>0</v>
      </c>
      <c r="DY74" s="44">
        <f t="shared" si="48"/>
        <v>0</v>
      </c>
      <c r="DZ74" s="44">
        <f t="shared" si="48"/>
        <v>0</v>
      </c>
      <c r="EA74" s="44">
        <f t="shared" si="48"/>
        <v>0</v>
      </c>
      <c r="EB74" s="44">
        <f t="shared" si="48"/>
        <v>0</v>
      </c>
      <c r="EE74" s="75">
        <f t="shared" si="29"/>
        <v>10000000</v>
      </c>
      <c r="EF74" s="75">
        <f t="shared" si="30"/>
        <v>0</v>
      </c>
    </row>
    <row r="75" spans="1:137" ht="36" hidden="1" customHeight="1" x14ac:dyDescent="0.25">
      <c r="A75" s="97"/>
      <c r="B75" s="186"/>
      <c r="C75" s="186" t="s">
        <v>230</v>
      </c>
      <c r="D75" s="186" t="s">
        <v>231</v>
      </c>
      <c r="E75" s="186">
        <v>520</v>
      </c>
      <c r="F75" s="187" t="s">
        <v>102</v>
      </c>
      <c r="G75" s="44">
        <f t="shared" si="39"/>
        <v>39340000</v>
      </c>
      <c r="H75" s="45">
        <v>25000000</v>
      </c>
      <c r="I75" s="45">
        <f t="shared" si="49"/>
        <v>-14340000</v>
      </c>
      <c r="J75" s="78"/>
      <c r="K75" s="44">
        <f>30000000+5000000-5660000</f>
        <v>29340000</v>
      </c>
      <c r="L75" s="80"/>
      <c r="M75" s="80"/>
      <c r="N75" s="80"/>
      <c r="O75" s="80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80"/>
      <c r="AA75" s="44">
        <f t="shared" si="54"/>
        <v>10000000</v>
      </c>
      <c r="AB75" s="44"/>
      <c r="AC75" s="44"/>
      <c r="AD75" s="44"/>
      <c r="AE75" s="44"/>
      <c r="AF75" s="44"/>
      <c r="AG75" s="46">
        <f t="shared" si="55"/>
        <v>0.74580579562785965</v>
      </c>
      <c r="AH75" s="44">
        <f t="shared" si="40"/>
        <v>29340000</v>
      </c>
      <c r="AI75" s="44"/>
      <c r="AJ75" s="44">
        <f>+'[8]Acuerdo PLAN INVERSIÓN 2021'!$J$1009</f>
        <v>29340000</v>
      </c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6">
        <f t="shared" si="57"/>
        <v>0.25419420437214035</v>
      </c>
      <c r="BG75" s="44">
        <f t="shared" si="41"/>
        <v>10000000</v>
      </c>
      <c r="BH75" s="44">
        <f t="shared" si="52"/>
        <v>0</v>
      </c>
      <c r="BI75" s="44">
        <f t="shared" si="52"/>
        <v>0</v>
      </c>
      <c r="BJ75" s="44">
        <f t="shared" si="52"/>
        <v>0</v>
      </c>
      <c r="BK75" s="44">
        <f t="shared" si="52"/>
        <v>0</v>
      </c>
      <c r="BL75" s="44">
        <f t="shared" si="52"/>
        <v>0</v>
      </c>
      <c r="BM75" s="44">
        <f t="shared" si="52"/>
        <v>0</v>
      </c>
      <c r="BN75" s="44">
        <f t="shared" si="52"/>
        <v>0</v>
      </c>
      <c r="BO75" s="44">
        <f t="shared" si="52"/>
        <v>0</v>
      </c>
      <c r="BP75" s="44">
        <f t="shared" si="52"/>
        <v>0</v>
      </c>
      <c r="BQ75" s="44">
        <f t="shared" si="52"/>
        <v>0</v>
      </c>
      <c r="BR75" s="44">
        <f t="shared" si="52"/>
        <v>0</v>
      </c>
      <c r="BS75" s="44">
        <f t="shared" si="52"/>
        <v>0</v>
      </c>
      <c r="BT75" s="44">
        <f t="shared" si="52"/>
        <v>0</v>
      </c>
      <c r="BU75" s="44">
        <f t="shared" si="52"/>
        <v>0</v>
      </c>
      <c r="BV75" s="44">
        <f t="shared" si="52"/>
        <v>0</v>
      </c>
      <c r="BW75" s="44">
        <f t="shared" si="50"/>
        <v>0</v>
      </c>
      <c r="BX75" s="44">
        <f t="shared" si="43"/>
        <v>0</v>
      </c>
      <c r="BY75" s="44">
        <f t="shared" si="43"/>
        <v>10000000</v>
      </c>
      <c r="BZ75" s="44">
        <f t="shared" si="43"/>
        <v>0</v>
      </c>
      <c r="CA75" s="44">
        <f t="shared" si="43"/>
        <v>0</v>
      </c>
      <c r="CB75" s="44">
        <f t="shared" si="43"/>
        <v>0</v>
      </c>
      <c r="CC75" s="44">
        <f t="shared" si="43"/>
        <v>0</v>
      </c>
      <c r="CD75" s="44">
        <f t="shared" si="43"/>
        <v>0</v>
      </c>
      <c r="CE75" s="46">
        <f t="shared" si="44"/>
        <v>0.74580564311133701</v>
      </c>
      <c r="CF75" s="44">
        <f t="shared" si="45"/>
        <v>29339994</v>
      </c>
      <c r="CG75" s="44"/>
      <c r="CH75" s="44">
        <f>+'[8]Acuerdo PLAN INVERSIÓN 2021'!$H$1007</f>
        <v>29339994</v>
      </c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6">
        <f t="shared" si="56"/>
        <v>0.25419435688866299</v>
      </c>
      <c r="DE75" s="44">
        <f t="shared" si="46"/>
        <v>10000006</v>
      </c>
      <c r="DF75" s="44">
        <f t="shared" si="53"/>
        <v>0</v>
      </c>
      <c r="DG75" s="44">
        <f t="shared" si="53"/>
        <v>6</v>
      </c>
      <c r="DH75" s="44">
        <f t="shared" si="53"/>
        <v>0</v>
      </c>
      <c r="DI75" s="44">
        <f t="shared" si="53"/>
        <v>0</v>
      </c>
      <c r="DJ75" s="44">
        <f t="shared" si="53"/>
        <v>0</v>
      </c>
      <c r="DK75" s="44">
        <f t="shared" si="53"/>
        <v>0</v>
      </c>
      <c r="DL75" s="44">
        <f t="shared" si="53"/>
        <v>0</v>
      </c>
      <c r="DM75" s="44">
        <f t="shared" si="53"/>
        <v>0</v>
      </c>
      <c r="DN75" s="44">
        <f t="shared" si="53"/>
        <v>0</v>
      </c>
      <c r="DO75" s="44">
        <f t="shared" si="53"/>
        <v>0</v>
      </c>
      <c r="DP75" s="44">
        <f t="shared" si="53"/>
        <v>0</v>
      </c>
      <c r="DQ75" s="44">
        <f t="shared" si="53"/>
        <v>0</v>
      </c>
      <c r="DR75" s="44">
        <f t="shared" si="53"/>
        <v>0</v>
      </c>
      <c r="DS75" s="44">
        <f t="shared" si="53"/>
        <v>0</v>
      </c>
      <c r="DT75" s="44">
        <f t="shared" si="53"/>
        <v>0</v>
      </c>
      <c r="DU75" s="44">
        <f t="shared" si="51"/>
        <v>0</v>
      </c>
      <c r="DV75" s="44">
        <f t="shared" si="48"/>
        <v>0</v>
      </c>
      <c r="DW75" s="44">
        <f t="shared" si="48"/>
        <v>10000000</v>
      </c>
      <c r="DX75" s="44">
        <f t="shared" si="48"/>
        <v>0</v>
      </c>
      <c r="DY75" s="44">
        <f t="shared" si="48"/>
        <v>0</v>
      </c>
      <c r="DZ75" s="44">
        <f t="shared" si="48"/>
        <v>0</v>
      </c>
      <c r="EA75" s="44">
        <f t="shared" si="48"/>
        <v>0</v>
      </c>
      <c r="EB75" s="44">
        <f t="shared" si="48"/>
        <v>0</v>
      </c>
      <c r="EE75" s="75">
        <f t="shared" si="29"/>
        <v>39340000</v>
      </c>
      <c r="EF75" s="75">
        <f t="shared" si="30"/>
        <v>29339994</v>
      </c>
    </row>
    <row r="76" spans="1:137" ht="24.75" hidden="1" customHeight="1" x14ac:dyDescent="0.25">
      <c r="A76" s="97"/>
      <c r="B76" s="186" t="s">
        <v>232</v>
      </c>
      <c r="C76" s="186" t="s">
        <v>233</v>
      </c>
      <c r="D76" s="186" t="s">
        <v>234</v>
      </c>
      <c r="E76" s="186">
        <v>520</v>
      </c>
      <c r="F76" s="187" t="s">
        <v>102</v>
      </c>
      <c r="G76" s="44">
        <f t="shared" si="39"/>
        <v>0</v>
      </c>
      <c r="H76" s="45">
        <v>173643500</v>
      </c>
      <c r="I76" s="45">
        <f t="shared" si="49"/>
        <v>173643500</v>
      </c>
      <c r="J76" s="78"/>
      <c r="K76" s="44">
        <f>1000000-1000000</f>
        <v>0</v>
      </c>
      <c r="L76" s="80"/>
      <c r="M76" s="80"/>
      <c r="N76" s="101"/>
      <c r="O76" s="80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80"/>
      <c r="AA76" s="44"/>
      <c r="AB76" s="44"/>
      <c r="AC76" s="78"/>
      <c r="AD76" s="78"/>
      <c r="AE76" s="78"/>
      <c r="AF76" s="44"/>
      <c r="AG76" s="46" t="e">
        <f t="shared" si="55"/>
        <v>#DIV/0!</v>
      </c>
      <c r="AH76" s="44">
        <f t="shared" si="40"/>
        <v>0</v>
      </c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6" t="e">
        <f t="shared" si="57"/>
        <v>#DIV/0!</v>
      </c>
      <c r="BG76" s="44">
        <f t="shared" si="41"/>
        <v>0</v>
      </c>
      <c r="BH76" s="44">
        <f t="shared" si="52"/>
        <v>0</v>
      </c>
      <c r="BI76" s="44">
        <f t="shared" si="52"/>
        <v>0</v>
      </c>
      <c r="BJ76" s="44">
        <f t="shared" si="52"/>
        <v>0</v>
      </c>
      <c r="BK76" s="44">
        <f t="shared" si="52"/>
        <v>0</v>
      </c>
      <c r="BL76" s="44">
        <f t="shared" si="52"/>
        <v>0</v>
      </c>
      <c r="BM76" s="44">
        <f t="shared" si="52"/>
        <v>0</v>
      </c>
      <c r="BN76" s="44">
        <f t="shared" si="52"/>
        <v>0</v>
      </c>
      <c r="BO76" s="44">
        <f t="shared" si="52"/>
        <v>0</v>
      </c>
      <c r="BP76" s="44">
        <f t="shared" si="52"/>
        <v>0</v>
      </c>
      <c r="BQ76" s="44">
        <f t="shared" si="52"/>
        <v>0</v>
      </c>
      <c r="BR76" s="44">
        <f t="shared" si="52"/>
        <v>0</v>
      </c>
      <c r="BS76" s="44">
        <f t="shared" si="52"/>
        <v>0</v>
      </c>
      <c r="BT76" s="44">
        <f t="shared" si="52"/>
        <v>0</v>
      </c>
      <c r="BU76" s="44">
        <f t="shared" si="52"/>
        <v>0</v>
      </c>
      <c r="BV76" s="44">
        <f t="shared" si="52"/>
        <v>0</v>
      </c>
      <c r="BW76" s="44">
        <f t="shared" si="50"/>
        <v>0</v>
      </c>
      <c r="BX76" s="44">
        <f t="shared" si="43"/>
        <v>0</v>
      </c>
      <c r="BY76" s="44">
        <f t="shared" si="43"/>
        <v>0</v>
      </c>
      <c r="BZ76" s="44">
        <f t="shared" si="43"/>
        <v>0</v>
      </c>
      <c r="CA76" s="44">
        <f t="shared" si="43"/>
        <v>0</v>
      </c>
      <c r="CB76" s="44">
        <f t="shared" si="43"/>
        <v>0</v>
      </c>
      <c r="CC76" s="44">
        <f t="shared" si="43"/>
        <v>0</v>
      </c>
      <c r="CD76" s="44">
        <f t="shared" si="43"/>
        <v>0</v>
      </c>
      <c r="CE76" s="46" t="e">
        <f t="shared" si="44"/>
        <v>#DIV/0!</v>
      </c>
      <c r="CF76" s="44">
        <f t="shared" si="45"/>
        <v>0</v>
      </c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6" t="e">
        <f t="shared" si="56"/>
        <v>#DIV/0!</v>
      </c>
      <c r="DE76" s="44">
        <f t="shared" si="46"/>
        <v>0</v>
      </c>
      <c r="DF76" s="44">
        <f t="shared" si="53"/>
        <v>0</v>
      </c>
      <c r="DG76" s="44">
        <f t="shared" si="53"/>
        <v>0</v>
      </c>
      <c r="DH76" s="44">
        <f t="shared" si="53"/>
        <v>0</v>
      </c>
      <c r="DI76" s="44">
        <f t="shared" si="53"/>
        <v>0</v>
      </c>
      <c r="DJ76" s="44">
        <f t="shared" si="53"/>
        <v>0</v>
      </c>
      <c r="DK76" s="44">
        <f t="shared" si="53"/>
        <v>0</v>
      </c>
      <c r="DL76" s="44">
        <f t="shared" si="53"/>
        <v>0</v>
      </c>
      <c r="DM76" s="44">
        <f t="shared" si="53"/>
        <v>0</v>
      </c>
      <c r="DN76" s="44">
        <f t="shared" si="53"/>
        <v>0</v>
      </c>
      <c r="DO76" s="44">
        <f t="shared" si="53"/>
        <v>0</v>
      </c>
      <c r="DP76" s="44">
        <f t="shared" si="53"/>
        <v>0</v>
      </c>
      <c r="DQ76" s="44">
        <f t="shared" si="53"/>
        <v>0</v>
      </c>
      <c r="DR76" s="44">
        <f t="shared" si="53"/>
        <v>0</v>
      </c>
      <c r="DS76" s="44">
        <f t="shared" si="53"/>
        <v>0</v>
      </c>
      <c r="DT76" s="44">
        <f t="shared" si="53"/>
        <v>0</v>
      </c>
      <c r="DU76" s="44">
        <f t="shared" si="51"/>
        <v>0</v>
      </c>
      <c r="DV76" s="44">
        <f t="shared" si="48"/>
        <v>0</v>
      </c>
      <c r="DW76" s="44">
        <f t="shared" si="48"/>
        <v>0</v>
      </c>
      <c r="DX76" s="44">
        <f t="shared" si="48"/>
        <v>0</v>
      </c>
      <c r="DY76" s="44">
        <f t="shared" si="48"/>
        <v>0</v>
      </c>
      <c r="DZ76" s="44">
        <f t="shared" si="48"/>
        <v>0</v>
      </c>
      <c r="EA76" s="44">
        <f t="shared" si="48"/>
        <v>0</v>
      </c>
      <c r="EB76" s="44">
        <f t="shared" si="48"/>
        <v>0</v>
      </c>
      <c r="EE76" s="75">
        <f t="shared" si="29"/>
        <v>0</v>
      </c>
      <c r="EF76" s="75">
        <f t="shared" si="30"/>
        <v>0</v>
      </c>
    </row>
    <row r="77" spans="1:137" s="74" customFormat="1" ht="16.899999999999999" customHeight="1" thickTop="1" thickBot="1" x14ac:dyDescent="0.3">
      <c r="A77" s="102"/>
      <c r="B77" s="186" t="s">
        <v>235</v>
      </c>
      <c r="C77" s="186"/>
      <c r="D77" s="186"/>
      <c r="E77" s="186"/>
      <c r="F77" s="187"/>
      <c r="G77" s="92">
        <f t="shared" ref="G77:AF77" si="58">SUM(G51:G76)</f>
        <v>4269690683</v>
      </c>
      <c r="H77" s="106">
        <f t="shared" si="58"/>
        <v>6393503250</v>
      </c>
      <c r="I77" s="106">
        <f t="shared" si="58"/>
        <v>2123812567</v>
      </c>
      <c r="J77" s="92">
        <f t="shared" si="58"/>
        <v>0</v>
      </c>
      <c r="K77" s="92">
        <f t="shared" si="58"/>
        <v>1085174278</v>
      </c>
      <c r="L77" s="92">
        <f t="shared" si="58"/>
        <v>0</v>
      </c>
      <c r="M77" s="92">
        <f t="shared" si="58"/>
        <v>0</v>
      </c>
      <c r="N77" s="92">
        <f t="shared" si="58"/>
        <v>0</v>
      </c>
      <c r="O77" s="92">
        <f t="shared" si="58"/>
        <v>167645552</v>
      </c>
      <c r="P77" s="92">
        <f t="shared" si="58"/>
        <v>0</v>
      </c>
      <c r="Q77" s="92">
        <f t="shared" si="58"/>
        <v>0</v>
      </c>
      <c r="R77" s="92">
        <f t="shared" si="58"/>
        <v>0</v>
      </c>
      <c r="S77" s="92">
        <f t="shared" si="58"/>
        <v>0</v>
      </c>
      <c r="T77" s="92">
        <f t="shared" si="58"/>
        <v>0</v>
      </c>
      <c r="U77" s="92">
        <f t="shared" si="58"/>
        <v>0</v>
      </c>
      <c r="V77" s="92">
        <f t="shared" si="58"/>
        <v>0</v>
      </c>
      <c r="W77" s="92">
        <f t="shared" si="58"/>
        <v>0</v>
      </c>
      <c r="X77" s="92">
        <f t="shared" si="58"/>
        <v>0</v>
      </c>
      <c r="Y77" s="92">
        <f t="shared" si="58"/>
        <v>1374625000</v>
      </c>
      <c r="Z77" s="92">
        <f t="shared" si="58"/>
        <v>0</v>
      </c>
      <c r="AA77" s="92">
        <f t="shared" si="58"/>
        <v>427766866</v>
      </c>
      <c r="AB77" s="92">
        <f t="shared" si="58"/>
        <v>197412271</v>
      </c>
      <c r="AC77" s="92">
        <f t="shared" si="58"/>
        <v>0</v>
      </c>
      <c r="AD77" s="92">
        <f t="shared" si="58"/>
        <v>0</v>
      </c>
      <c r="AE77" s="92">
        <f t="shared" si="58"/>
        <v>0</v>
      </c>
      <c r="AF77" s="92">
        <f t="shared" si="58"/>
        <v>1017066716</v>
      </c>
      <c r="AG77" s="73">
        <f t="shared" si="55"/>
        <v>0.92693796128088279</v>
      </c>
      <c r="AH77" s="92">
        <f>SUM(AH51:AH76)</f>
        <v>3957738377</v>
      </c>
      <c r="AI77" s="92">
        <f>SUM(AI51:AI76)</f>
        <v>0</v>
      </c>
      <c r="AJ77" s="92">
        <f>SUM(AJ51:AJ76)</f>
        <v>999215575</v>
      </c>
      <c r="AK77" s="92">
        <f>SUM(AK51:AK76)</f>
        <v>0</v>
      </c>
      <c r="AL77" s="92"/>
      <c r="AM77" s="92">
        <f t="shared" ref="AM77:BE77" si="59">SUM(AM51:AM76)</f>
        <v>0</v>
      </c>
      <c r="AN77" s="92">
        <f t="shared" si="59"/>
        <v>155819660</v>
      </c>
      <c r="AO77" s="92">
        <f t="shared" si="59"/>
        <v>0</v>
      </c>
      <c r="AP77" s="92">
        <f t="shared" si="59"/>
        <v>0</v>
      </c>
      <c r="AQ77" s="92">
        <f t="shared" si="59"/>
        <v>0</v>
      </c>
      <c r="AR77" s="92">
        <f t="shared" si="59"/>
        <v>0</v>
      </c>
      <c r="AS77" s="92">
        <f t="shared" si="59"/>
        <v>0</v>
      </c>
      <c r="AT77" s="92">
        <f t="shared" si="59"/>
        <v>0</v>
      </c>
      <c r="AU77" s="92">
        <f t="shared" si="59"/>
        <v>0</v>
      </c>
      <c r="AV77" s="92">
        <f t="shared" si="59"/>
        <v>0</v>
      </c>
      <c r="AW77" s="92">
        <f t="shared" si="59"/>
        <v>0</v>
      </c>
      <c r="AX77" s="92">
        <f t="shared" si="59"/>
        <v>1367983008</v>
      </c>
      <c r="AY77" s="92">
        <f t="shared" si="59"/>
        <v>0</v>
      </c>
      <c r="AZ77" s="92">
        <f t="shared" si="59"/>
        <v>338055304</v>
      </c>
      <c r="BA77" s="92">
        <f t="shared" si="59"/>
        <v>197412270</v>
      </c>
      <c r="BB77" s="92">
        <f t="shared" si="59"/>
        <v>0</v>
      </c>
      <c r="BC77" s="92">
        <f t="shared" si="59"/>
        <v>0</v>
      </c>
      <c r="BD77" s="92">
        <f t="shared" si="59"/>
        <v>0</v>
      </c>
      <c r="BE77" s="92">
        <f t="shared" si="59"/>
        <v>899252560</v>
      </c>
      <c r="BF77" s="73">
        <f t="shared" si="57"/>
        <v>7.3062038719117206E-2</v>
      </c>
      <c r="BG77" s="92">
        <f t="shared" ref="BG77:CD77" si="60">SUM(BG51:BG76)</f>
        <v>311952306</v>
      </c>
      <c r="BH77" s="92">
        <f t="shared" si="60"/>
        <v>0</v>
      </c>
      <c r="BI77" s="92">
        <f t="shared" si="60"/>
        <v>85958703</v>
      </c>
      <c r="BJ77" s="92">
        <f t="shared" si="60"/>
        <v>0</v>
      </c>
      <c r="BK77" s="92">
        <f t="shared" si="60"/>
        <v>0</v>
      </c>
      <c r="BL77" s="92">
        <f t="shared" si="60"/>
        <v>0</v>
      </c>
      <c r="BM77" s="92">
        <f t="shared" si="60"/>
        <v>11825892</v>
      </c>
      <c r="BN77" s="92">
        <f t="shared" si="60"/>
        <v>0</v>
      </c>
      <c r="BO77" s="92">
        <f t="shared" si="60"/>
        <v>0</v>
      </c>
      <c r="BP77" s="92">
        <f t="shared" si="60"/>
        <v>0</v>
      </c>
      <c r="BQ77" s="92">
        <f t="shared" si="60"/>
        <v>0</v>
      </c>
      <c r="BR77" s="92">
        <f t="shared" si="60"/>
        <v>0</v>
      </c>
      <c r="BS77" s="92">
        <f t="shared" si="60"/>
        <v>0</v>
      </c>
      <c r="BT77" s="92">
        <f t="shared" si="60"/>
        <v>0</v>
      </c>
      <c r="BU77" s="92">
        <f t="shared" si="60"/>
        <v>0</v>
      </c>
      <c r="BV77" s="92">
        <f t="shared" si="60"/>
        <v>0</v>
      </c>
      <c r="BW77" s="92">
        <f t="shared" si="60"/>
        <v>6641992</v>
      </c>
      <c r="BX77" s="92">
        <f t="shared" si="60"/>
        <v>0</v>
      </c>
      <c r="BY77" s="92">
        <f t="shared" si="60"/>
        <v>89711562</v>
      </c>
      <c r="BZ77" s="92">
        <f t="shared" si="60"/>
        <v>1</v>
      </c>
      <c r="CA77" s="92">
        <f t="shared" si="60"/>
        <v>0</v>
      </c>
      <c r="CB77" s="92">
        <f t="shared" si="60"/>
        <v>0</v>
      </c>
      <c r="CC77" s="92">
        <f t="shared" si="60"/>
        <v>0</v>
      </c>
      <c r="CD77" s="92">
        <f t="shared" si="60"/>
        <v>117814156</v>
      </c>
      <c r="CE77" s="71">
        <f t="shared" si="44"/>
        <v>0.80563346724290097</v>
      </c>
      <c r="CF77" s="92">
        <f>SUM(CF51:CF76)</f>
        <v>3439805709</v>
      </c>
      <c r="CG77" s="92">
        <f>SUM(CG51:CG76)</f>
        <v>0</v>
      </c>
      <c r="CH77" s="92">
        <f>SUM(CH51:CH76)</f>
        <v>923147182</v>
      </c>
      <c r="CI77" s="92">
        <f>SUM(CI51:CI76)</f>
        <v>0</v>
      </c>
      <c r="CJ77" s="92">
        <f>SUM(CJ51:CJ76)</f>
        <v>0</v>
      </c>
      <c r="CK77" s="92">
        <f t="shared" ref="CK77:DC77" si="61">SUM(CK51:CK76)</f>
        <v>0</v>
      </c>
      <c r="CL77" s="92">
        <f t="shared" si="61"/>
        <v>121783331</v>
      </c>
      <c r="CM77" s="92">
        <f t="shared" si="61"/>
        <v>0</v>
      </c>
      <c r="CN77" s="92">
        <f t="shared" si="61"/>
        <v>0</v>
      </c>
      <c r="CO77" s="92">
        <f t="shared" si="61"/>
        <v>0</v>
      </c>
      <c r="CP77" s="92">
        <f t="shared" si="61"/>
        <v>0</v>
      </c>
      <c r="CQ77" s="92">
        <f t="shared" si="61"/>
        <v>0</v>
      </c>
      <c r="CR77" s="92">
        <f t="shared" si="61"/>
        <v>0</v>
      </c>
      <c r="CS77" s="92">
        <f t="shared" si="61"/>
        <v>0</v>
      </c>
      <c r="CT77" s="92">
        <f t="shared" si="61"/>
        <v>0</v>
      </c>
      <c r="CU77" s="92">
        <f t="shared" si="61"/>
        <v>0</v>
      </c>
      <c r="CV77" s="92">
        <f t="shared" si="61"/>
        <v>1175342062</v>
      </c>
      <c r="CW77" s="92">
        <f t="shared" si="61"/>
        <v>0</v>
      </c>
      <c r="CX77" s="92">
        <f t="shared" si="61"/>
        <v>217639643</v>
      </c>
      <c r="CY77" s="92">
        <f t="shared" si="61"/>
        <v>172510944</v>
      </c>
      <c r="CZ77" s="92">
        <f t="shared" si="61"/>
        <v>0</v>
      </c>
      <c r="DA77" s="92">
        <f t="shared" si="61"/>
        <v>0</v>
      </c>
      <c r="DB77" s="92">
        <f t="shared" si="61"/>
        <v>0</v>
      </c>
      <c r="DC77" s="92">
        <f t="shared" si="61"/>
        <v>829382547</v>
      </c>
      <c r="DD77" s="73">
        <f t="shared" si="56"/>
        <v>0.19436653275709903</v>
      </c>
      <c r="DE77" s="107">
        <f t="shared" si="46"/>
        <v>829884974</v>
      </c>
      <c r="DF77" s="92">
        <f t="shared" ref="DF77:EB77" si="62">SUM(DF51:DF76)</f>
        <v>0</v>
      </c>
      <c r="DG77" s="92">
        <f t="shared" si="62"/>
        <v>162027096</v>
      </c>
      <c r="DH77" s="92">
        <f t="shared" si="62"/>
        <v>0</v>
      </c>
      <c r="DI77" s="92">
        <f t="shared" si="62"/>
        <v>0</v>
      </c>
      <c r="DJ77" s="92">
        <f t="shared" si="62"/>
        <v>0</v>
      </c>
      <c r="DK77" s="92">
        <f t="shared" si="62"/>
        <v>45862221</v>
      </c>
      <c r="DL77" s="92">
        <f t="shared" si="62"/>
        <v>0</v>
      </c>
      <c r="DM77" s="92">
        <f t="shared" si="62"/>
        <v>0</v>
      </c>
      <c r="DN77" s="92">
        <f t="shared" si="62"/>
        <v>0</v>
      </c>
      <c r="DO77" s="92">
        <f t="shared" si="62"/>
        <v>0</v>
      </c>
      <c r="DP77" s="92">
        <f t="shared" si="62"/>
        <v>0</v>
      </c>
      <c r="DQ77" s="92">
        <f t="shared" si="62"/>
        <v>0</v>
      </c>
      <c r="DR77" s="92">
        <f t="shared" si="62"/>
        <v>0</v>
      </c>
      <c r="DS77" s="92">
        <f t="shared" si="62"/>
        <v>0</v>
      </c>
      <c r="DT77" s="92">
        <f t="shared" si="62"/>
        <v>0</v>
      </c>
      <c r="DU77" s="92">
        <f t="shared" si="62"/>
        <v>199282938</v>
      </c>
      <c r="DV77" s="92">
        <f t="shared" si="62"/>
        <v>0</v>
      </c>
      <c r="DW77" s="92">
        <f t="shared" si="62"/>
        <v>210127223</v>
      </c>
      <c r="DX77" s="92">
        <f t="shared" si="62"/>
        <v>24901327</v>
      </c>
      <c r="DY77" s="92">
        <f t="shared" si="62"/>
        <v>0</v>
      </c>
      <c r="DZ77" s="92">
        <f t="shared" si="62"/>
        <v>0</v>
      </c>
      <c r="EA77" s="92">
        <f t="shared" si="62"/>
        <v>0</v>
      </c>
      <c r="EB77" s="92">
        <f t="shared" si="62"/>
        <v>187684169</v>
      </c>
      <c r="EC77" s="188"/>
      <c r="ED77" s="201" t="s">
        <v>388</v>
      </c>
      <c r="EE77" s="75">
        <f t="shared" si="29"/>
        <v>4269690683</v>
      </c>
      <c r="EF77" s="75">
        <f t="shared" si="30"/>
        <v>3439805709</v>
      </c>
      <c r="EG77" s="188">
        <f>+CE77</f>
        <v>0.80563346724290097</v>
      </c>
    </row>
    <row r="78" spans="1:137" s="74" customFormat="1" ht="22.5" hidden="1" customHeight="1" thickTop="1" x14ac:dyDescent="0.25">
      <c r="A78" s="108" t="s">
        <v>236</v>
      </c>
      <c r="B78" s="186" t="s">
        <v>237</v>
      </c>
      <c r="C78" s="186" t="s">
        <v>238</v>
      </c>
      <c r="D78" s="186" t="s">
        <v>239</v>
      </c>
      <c r="E78" s="186">
        <v>301</v>
      </c>
      <c r="F78" s="187" t="s">
        <v>240</v>
      </c>
      <c r="G78" s="44">
        <f t="shared" ref="G78:G96" si="63">SUM(J78:AF78)</f>
        <v>144900000</v>
      </c>
      <c r="H78" s="45">
        <v>120000000</v>
      </c>
      <c r="I78" s="45">
        <f>H78-G78</f>
        <v>-24900000</v>
      </c>
      <c r="J78" s="44">
        <f>9900000</f>
        <v>9900000</v>
      </c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>
        <f>65000000</f>
        <v>65000000</v>
      </c>
      <c r="AB78" s="44"/>
      <c r="AC78" s="44">
        <v>70000000</v>
      </c>
      <c r="AD78" s="44"/>
      <c r="AE78" s="44"/>
      <c r="AF78" s="44"/>
      <c r="AG78" s="79">
        <f t="shared" si="55"/>
        <v>0.44258109040717736</v>
      </c>
      <c r="AH78" s="44">
        <f t="shared" si="40"/>
        <v>64130000</v>
      </c>
      <c r="AI78" s="44">
        <f>+'[1]Acuerdo PLAN INVERSIÓN 2021'!$L$4057</f>
        <v>9900000</v>
      </c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>
        <f>+'[6]Acuerdo PLAN INVERSIÓN 2021'!$AB$4868</f>
        <v>54230000</v>
      </c>
      <c r="BC78" s="44"/>
      <c r="BD78" s="44"/>
      <c r="BE78" s="44"/>
      <c r="BF78" s="46">
        <f t="shared" si="57"/>
        <v>0.55741890959282259</v>
      </c>
      <c r="BG78" s="44">
        <f t="shared" ref="BG78:BG128" si="64">SUM(BH78:CD78)</f>
        <v>80770000</v>
      </c>
      <c r="BH78" s="44">
        <f t="shared" ref="BH78:BW93" si="65">+J78-AI78</f>
        <v>0</v>
      </c>
      <c r="BI78" s="44">
        <f t="shared" si="65"/>
        <v>0</v>
      </c>
      <c r="BJ78" s="44">
        <f t="shared" si="65"/>
        <v>0</v>
      </c>
      <c r="BK78" s="44">
        <f t="shared" si="65"/>
        <v>0</v>
      </c>
      <c r="BL78" s="44">
        <f t="shared" si="65"/>
        <v>0</v>
      </c>
      <c r="BM78" s="44">
        <f t="shared" si="65"/>
        <v>0</v>
      </c>
      <c r="BN78" s="44">
        <f t="shared" si="65"/>
        <v>0</v>
      </c>
      <c r="BO78" s="44">
        <f t="shared" si="65"/>
        <v>0</v>
      </c>
      <c r="BP78" s="44">
        <f t="shared" si="65"/>
        <v>0</v>
      </c>
      <c r="BQ78" s="44">
        <f t="shared" si="65"/>
        <v>0</v>
      </c>
      <c r="BR78" s="44">
        <f t="shared" si="65"/>
        <v>0</v>
      </c>
      <c r="BS78" s="44">
        <f t="shared" si="65"/>
        <v>0</v>
      </c>
      <c r="BT78" s="44">
        <f t="shared" si="65"/>
        <v>0</v>
      </c>
      <c r="BU78" s="44">
        <f t="shared" si="65"/>
        <v>0</v>
      </c>
      <c r="BV78" s="44">
        <f t="shared" si="65"/>
        <v>0</v>
      </c>
      <c r="BW78" s="44">
        <f t="shared" si="65"/>
        <v>0</v>
      </c>
      <c r="BX78" s="44">
        <f t="shared" ref="BX78:CD96" si="66">+Z78-AY78</f>
        <v>0</v>
      </c>
      <c r="BY78" s="44">
        <f t="shared" si="66"/>
        <v>65000000</v>
      </c>
      <c r="BZ78" s="44">
        <f t="shared" si="66"/>
        <v>0</v>
      </c>
      <c r="CA78" s="44">
        <f t="shared" si="66"/>
        <v>15770000</v>
      </c>
      <c r="CB78" s="44">
        <f t="shared" si="66"/>
        <v>0</v>
      </c>
      <c r="CC78" s="44">
        <f t="shared" si="66"/>
        <v>0</v>
      </c>
      <c r="CD78" s="44">
        <f t="shared" si="66"/>
        <v>0</v>
      </c>
      <c r="CE78" s="79">
        <f t="shared" si="44"/>
        <v>0.31874855762594895</v>
      </c>
      <c r="CF78" s="44">
        <f>SUM(CG78:DC78)</f>
        <v>46186666</v>
      </c>
      <c r="CG78" s="44">
        <f>+'[1]Acuerdo PLAN INVERSIÓN 2021'!$H$4070</f>
        <v>9630000</v>
      </c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>
        <f>+'[10]Acuerdo PLAN INVERSIÓN 2021'!$H$767+'[3]Acuerdo PLAN INVERSIÓN 2021'!$H$2882+'[3]Acuerdo PLAN INVERSIÓN 2021'!$H$2884+'[5]Acuerdo PLAN INVERSIÓN 2021'!$H$5714</f>
        <v>36556666</v>
      </c>
      <c r="DA78" s="44"/>
      <c r="DB78" s="44"/>
      <c r="DC78" s="44"/>
      <c r="DD78" s="46">
        <f t="shared" si="56"/>
        <v>0.681251442374051</v>
      </c>
      <c r="DE78" s="44">
        <f t="shared" si="46"/>
        <v>98713334</v>
      </c>
      <c r="DF78" s="44">
        <f t="shared" ref="DF78:DU93" si="67">+J78-CG78</f>
        <v>270000</v>
      </c>
      <c r="DG78" s="44">
        <f t="shared" si="67"/>
        <v>0</v>
      </c>
      <c r="DH78" s="44">
        <f t="shared" si="67"/>
        <v>0</v>
      </c>
      <c r="DI78" s="44">
        <f t="shared" si="67"/>
        <v>0</v>
      </c>
      <c r="DJ78" s="44">
        <f t="shared" si="67"/>
        <v>0</v>
      </c>
      <c r="DK78" s="44">
        <f t="shared" si="67"/>
        <v>0</v>
      </c>
      <c r="DL78" s="44">
        <f t="shared" si="67"/>
        <v>0</v>
      </c>
      <c r="DM78" s="44">
        <f t="shared" si="67"/>
        <v>0</v>
      </c>
      <c r="DN78" s="44">
        <f t="shared" si="67"/>
        <v>0</v>
      </c>
      <c r="DO78" s="44">
        <f t="shared" si="67"/>
        <v>0</v>
      </c>
      <c r="DP78" s="44">
        <f t="shared" si="67"/>
        <v>0</v>
      </c>
      <c r="DQ78" s="44">
        <f t="shared" si="67"/>
        <v>0</v>
      </c>
      <c r="DR78" s="44">
        <f t="shared" si="67"/>
        <v>0</v>
      </c>
      <c r="DS78" s="44">
        <f t="shared" si="67"/>
        <v>0</v>
      </c>
      <c r="DT78" s="44">
        <f t="shared" si="67"/>
        <v>0</v>
      </c>
      <c r="DU78" s="44">
        <f t="shared" si="67"/>
        <v>0</v>
      </c>
      <c r="DV78" s="44">
        <f t="shared" ref="DV78:EB96" si="68">+Z78-CW78</f>
        <v>0</v>
      </c>
      <c r="DW78" s="44">
        <f t="shared" si="68"/>
        <v>65000000</v>
      </c>
      <c r="DX78" s="44">
        <f t="shared" si="68"/>
        <v>0</v>
      </c>
      <c r="DY78" s="44">
        <f t="shared" si="68"/>
        <v>33443334</v>
      </c>
      <c r="DZ78" s="44">
        <f t="shared" si="68"/>
        <v>0</v>
      </c>
      <c r="EA78" s="44">
        <f t="shared" si="68"/>
        <v>0</v>
      </c>
      <c r="EB78" s="44">
        <f t="shared" si="68"/>
        <v>0</v>
      </c>
      <c r="ED78"/>
      <c r="EE78" s="75">
        <f t="shared" si="29"/>
        <v>144900000</v>
      </c>
      <c r="EF78" s="75">
        <f t="shared" si="30"/>
        <v>46186666</v>
      </c>
    </row>
    <row r="79" spans="1:137" s="74" customFormat="1" ht="21" hidden="1" customHeight="1" x14ac:dyDescent="0.25">
      <c r="A79" s="109"/>
      <c r="B79" s="186"/>
      <c r="C79" s="186" t="s">
        <v>241</v>
      </c>
      <c r="D79" s="186" t="s">
        <v>242</v>
      </c>
      <c r="E79" s="186">
        <v>301</v>
      </c>
      <c r="F79" s="187" t="s">
        <v>240</v>
      </c>
      <c r="G79" s="44">
        <f t="shared" si="63"/>
        <v>70000000</v>
      </c>
      <c r="H79" s="45">
        <v>85000000</v>
      </c>
      <c r="I79" s="45">
        <f t="shared" ref="I79:I96" si="69">H79-G79</f>
        <v>15000000</v>
      </c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>
        <f>20000000</f>
        <v>20000000</v>
      </c>
      <c r="AB79" s="44"/>
      <c r="AC79" s="44">
        <v>50000000</v>
      </c>
      <c r="AD79" s="44"/>
      <c r="AE79" s="44"/>
      <c r="AF79" s="44"/>
      <c r="AG79" s="46">
        <f t="shared" si="55"/>
        <v>9.0935714285714286E-2</v>
      </c>
      <c r="AH79" s="44">
        <f t="shared" si="40"/>
        <v>6365500</v>
      </c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>
        <f>+'[5]Acuerdo PLAN INVERSIÓN 2021'!$AB$5721</f>
        <v>6365500</v>
      </c>
      <c r="BC79" s="44"/>
      <c r="BD79" s="44"/>
      <c r="BE79" s="44"/>
      <c r="BF79" s="46">
        <f t="shared" si="57"/>
        <v>0.90906428571428566</v>
      </c>
      <c r="BG79" s="44">
        <f t="shared" si="64"/>
        <v>63634500</v>
      </c>
      <c r="BH79" s="44">
        <f t="shared" si="65"/>
        <v>0</v>
      </c>
      <c r="BI79" s="44">
        <f t="shared" si="65"/>
        <v>0</v>
      </c>
      <c r="BJ79" s="44">
        <f t="shared" si="65"/>
        <v>0</v>
      </c>
      <c r="BK79" s="44">
        <f t="shared" si="65"/>
        <v>0</v>
      </c>
      <c r="BL79" s="44">
        <f t="shared" si="65"/>
        <v>0</v>
      </c>
      <c r="BM79" s="44">
        <f t="shared" si="65"/>
        <v>0</v>
      </c>
      <c r="BN79" s="44">
        <f t="shared" si="65"/>
        <v>0</v>
      </c>
      <c r="BO79" s="44">
        <f t="shared" si="65"/>
        <v>0</v>
      </c>
      <c r="BP79" s="44">
        <f t="shared" si="65"/>
        <v>0</v>
      </c>
      <c r="BQ79" s="44">
        <f t="shared" si="65"/>
        <v>0</v>
      </c>
      <c r="BR79" s="44">
        <f t="shared" si="65"/>
        <v>0</v>
      </c>
      <c r="BS79" s="44">
        <f t="shared" si="65"/>
        <v>0</v>
      </c>
      <c r="BT79" s="44">
        <f t="shared" si="65"/>
        <v>0</v>
      </c>
      <c r="BU79" s="44">
        <f t="shared" si="65"/>
        <v>0</v>
      </c>
      <c r="BV79" s="44">
        <f t="shared" si="65"/>
        <v>0</v>
      </c>
      <c r="BW79" s="44">
        <f t="shared" si="65"/>
        <v>0</v>
      </c>
      <c r="BX79" s="44">
        <f t="shared" si="66"/>
        <v>0</v>
      </c>
      <c r="BY79" s="44">
        <f t="shared" si="66"/>
        <v>20000000</v>
      </c>
      <c r="BZ79" s="44">
        <f t="shared" si="66"/>
        <v>0</v>
      </c>
      <c r="CA79" s="44">
        <f t="shared" si="66"/>
        <v>43634500</v>
      </c>
      <c r="CB79" s="44">
        <f t="shared" si="66"/>
        <v>0</v>
      </c>
      <c r="CC79" s="44">
        <f t="shared" si="66"/>
        <v>0</v>
      </c>
      <c r="CD79" s="44">
        <f t="shared" si="66"/>
        <v>0</v>
      </c>
      <c r="CE79" s="46">
        <f t="shared" si="44"/>
        <v>4.9238085714285715E-2</v>
      </c>
      <c r="CF79" s="44">
        <f t="shared" ref="CF79:CF96" si="70">SUM(CG79:DC79)</f>
        <v>3446666</v>
      </c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>
        <f>+'[5]Acuerdo PLAN INVERSIÓN 2021'!$H$5719</f>
        <v>3446666</v>
      </c>
      <c r="DA79" s="44"/>
      <c r="DB79" s="44"/>
      <c r="DC79" s="44"/>
      <c r="DD79" s="46">
        <f t="shared" si="56"/>
        <v>0.95076191428571433</v>
      </c>
      <c r="DE79" s="44">
        <f t="shared" si="46"/>
        <v>66553334</v>
      </c>
      <c r="DF79" s="44">
        <f t="shared" si="67"/>
        <v>0</v>
      </c>
      <c r="DG79" s="44">
        <f t="shared" si="67"/>
        <v>0</v>
      </c>
      <c r="DH79" s="44">
        <f t="shared" si="67"/>
        <v>0</v>
      </c>
      <c r="DI79" s="44">
        <f t="shared" si="67"/>
        <v>0</v>
      </c>
      <c r="DJ79" s="44">
        <f t="shared" si="67"/>
        <v>0</v>
      </c>
      <c r="DK79" s="44">
        <f t="shared" si="67"/>
        <v>0</v>
      </c>
      <c r="DL79" s="44">
        <f t="shared" si="67"/>
        <v>0</v>
      </c>
      <c r="DM79" s="44">
        <f t="shared" si="67"/>
        <v>0</v>
      </c>
      <c r="DN79" s="44">
        <f t="shared" si="67"/>
        <v>0</v>
      </c>
      <c r="DO79" s="44">
        <f t="shared" si="67"/>
        <v>0</v>
      </c>
      <c r="DP79" s="44">
        <f t="shared" si="67"/>
        <v>0</v>
      </c>
      <c r="DQ79" s="44">
        <f t="shared" si="67"/>
        <v>0</v>
      </c>
      <c r="DR79" s="44">
        <f t="shared" si="67"/>
        <v>0</v>
      </c>
      <c r="DS79" s="44">
        <f t="shared" si="67"/>
        <v>0</v>
      </c>
      <c r="DT79" s="44">
        <f t="shared" si="67"/>
        <v>0</v>
      </c>
      <c r="DU79" s="44">
        <f t="shared" si="67"/>
        <v>0</v>
      </c>
      <c r="DV79" s="44">
        <f t="shared" si="68"/>
        <v>0</v>
      </c>
      <c r="DW79" s="44">
        <f t="shared" si="68"/>
        <v>20000000</v>
      </c>
      <c r="DX79" s="44">
        <f t="shared" si="68"/>
        <v>0</v>
      </c>
      <c r="DY79" s="44">
        <f t="shared" si="68"/>
        <v>46553334</v>
      </c>
      <c r="DZ79" s="44">
        <f t="shared" si="68"/>
        <v>0</v>
      </c>
      <c r="EA79" s="44">
        <f t="shared" si="68"/>
        <v>0</v>
      </c>
      <c r="EB79" s="44">
        <f t="shared" si="68"/>
        <v>0</v>
      </c>
      <c r="ED79"/>
      <c r="EE79" s="75">
        <f t="shared" si="29"/>
        <v>70000000</v>
      </c>
      <c r="EF79" s="75">
        <f t="shared" si="30"/>
        <v>3446666</v>
      </c>
    </row>
    <row r="80" spans="1:137" s="74" customFormat="1" ht="21.75" hidden="1" customHeight="1" x14ac:dyDescent="0.25">
      <c r="A80" s="109"/>
      <c r="B80" s="186"/>
      <c r="C80" s="186" t="s">
        <v>243</v>
      </c>
      <c r="D80" s="186" t="s">
        <v>244</v>
      </c>
      <c r="E80" s="186">
        <v>301</v>
      </c>
      <c r="F80" s="187" t="s">
        <v>240</v>
      </c>
      <c r="G80" s="44">
        <f t="shared" si="63"/>
        <v>79666667</v>
      </c>
      <c r="H80" s="45">
        <v>100000000</v>
      </c>
      <c r="I80" s="45">
        <f t="shared" si="69"/>
        <v>20333333</v>
      </c>
      <c r="J80" s="44">
        <v>19666667</v>
      </c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>
        <v>60000000</v>
      </c>
      <c r="AD80" s="44"/>
      <c r="AE80" s="44"/>
      <c r="AF80" s="44"/>
      <c r="AG80" s="46">
        <f t="shared" si="55"/>
        <v>0.8702928917560967</v>
      </c>
      <c r="AH80" s="44">
        <f t="shared" si="40"/>
        <v>69333334</v>
      </c>
      <c r="AI80" s="44">
        <f>+'[1]Acuerdo PLAN INVERSIÓN 2021'!$L$4080</f>
        <v>19666667</v>
      </c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>
        <f>+'[4]Acuerdo PLAN INVERSIÓN 2021'!$AB$2420</f>
        <v>49666667</v>
      </c>
      <c r="BC80" s="44"/>
      <c r="BD80" s="44"/>
      <c r="BE80" s="44"/>
      <c r="BF80" s="46">
        <f t="shared" si="57"/>
        <v>0.1297071082439033</v>
      </c>
      <c r="BG80" s="44">
        <f t="shared" si="64"/>
        <v>10333333</v>
      </c>
      <c r="BH80" s="44">
        <f t="shared" si="65"/>
        <v>0</v>
      </c>
      <c r="BI80" s="44">
        <f t="shared" si="65"/>
        <v>0</v>
      </c>
      <c r="BJ80" s="44">
        <f t="shared" si="65"/>
        <v>0</v>
      </c>
      <c r="BK80" s="44">
        <f t="shared" si="65"/>
        <v>0</v>
      </c>
      <c r="BL80" s="44">
        <f t="shared" si="65"/>
        <v>0</v>
      </c>
      <c r="BM80" s="44">
        <f t="shared" si="65"/>
        <v>0</v>
      </c>
      <c r="BN80" s="44">
        <f t="shared" si="65"/>
        <v>0</v>
      </c>
      <c r="BO80" s="44">
        <f t="shared" si="65"/>
        <v>0</v>
      </c>
      <c r="BP80" s="44">
        <f t="shared" si="65"/>
        <v>0</v>
      </c>
      <c r="BQ80" s="44">
        <f t="shared" si="65"/>
        <v>0</v>
      </c>
      <c r="BR80" s="44">
        <f t="shared" si="65"/>
        <v>0</v>
      </c>
      <c r="BS80" s="44">
        <f t="shared" si="65"/>
        <v>0</v>
      </c>
      <c r="BT80" s="44">
        <f t="shared" si="65"/>
        <v>0</v>
      </c>
      <c r="BU80" s="44">
        <f t="shared" si="65"/>
        <v>0</v>
      </c>
      <c r="BV80" s="44">
        <f t="shared" si="65"/>
        <v>0</v>
      </c>
      <c r="BW80" s="44">
        <f t="shared" si="65"/>
        <v>0</v>
      </c>
      <c r="BX80" s="44">
        <f t="shared" si="66"/>
        <v>0</v>
      </c>
      <c r="BY80" s="44">
        <f t="shared" si="66"/>
        <v>0</v>
      </c>
      <c r="BZ80" s="44">
        <f t="shared" si="66"/>
        <v>0</v>
      </c>
      <c r="CA80" s="44">
        <f t="shared" si="66"/>
        <v>10333333</v>
      </c>
      <c r="CB80" s="44">
        <f t="shared" si="66"/>
        <v>0</v>
      </c>
      <c r="CC80" s="44">
        <f t="shared" si="66"/>
        <v>0</v>
      </c>
      <c r="CD80" s="44">
        <f t="shared" si="66"/>
        <v>0</v>
      </c>
      <c r="CE80" s="46">
        <f t="shared" si="44"/>
        <v>0.62029288861802134</v>
      </c>
      <c r="CF80" s="44">
        <f t="shared" si="70"/>
        <v>49416667</v>
      </c>
      <c r="CG80" s="44">
        <f>+'[1]Acuerdo PLAN INVERSIÓN 2021'!$H$4089</f>
        <v>17833334</v>
      </c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>
        <f>+'[1]Acuerdo PLAN INVERSIÓN 2021'!$H$4081+'[1]Acuerdo PLAN INVERSIÓN 2021'!$H$4085</f>
        <v>31583333</v>
      </c>
      <c r="DA80" s="44"/>
      <c r="DB80" s="44"/>
      <c r="DC80" s="44"/>
      <c r="DD80" s="46">
        <f t="shared" si="56"/>
        <v>0.37970711138197866</v>
      </c>
      <c r="DE80" s="44">
        <f t="shared" si="46"/>
        <v>30250000</v>
      </c>
      <c r="DF80" s="44">
        <f t="shared" si="67"/>
        <v>1833333</v>
      </c>
      <c r="DG80" s="44">
        <f t="shared" si="67"/>
        <v>0</v>
      </c>
      <c r="DH80" s="44">
        <f t="shared" si="67"/>
        <v>0</v>
      </c>
      <c r="DI80" s="44">
        <f t="shared" si="67"/>
        <v>0</v>
      </c>
      <c r="DJ80" s="44">
        <f t="shared" si="67"/>
        <v>0</v>
      </c>
      <c r="DK80" s="44">
        <f t="shared" si="67"/>
        <v>0</v>
      </c>
      <c r="DL80" s="44">
        <f t="shared" si="67"/>
        <v>0</v>
      </c>
      <c r="DM80" s="44">
        <f t="shared" si="67"/>
        <v>0</v>
      </c>
      <c r="DN80" s="44">
        <f t="shared" si="67"/>
        <v>0</v>
      </c>
      <c r="DO80" s="44">
        <f t="shared" si="67"/>
        <v>0</v>
      </c>
      <c r="DP80" s="44">
        <f t="shared" si="67"/>
        <v>0</v>
      </c>
      <c r="DQ80" s="44">
        <f t="shared" si="67"/>
        <v>0</v>
      </c>
      <c r="DR80" s="44">
        <f t="shared" si="67"/>
        <v>0</v>
      </c>
      <c r="DS80" s="44">
        <f t="shared" si="67"/>
        <v>0</v>
      </c>
      <c r="DT80" s="44">
        <f t="shared" si="67"/>
        <v>0</v>
      </c>
      <c r="DU80" s="44">
        <f t="shared" si="67"/>
        <v>0</v>
      </c>
      <c r="DV80" s="44">
        <f t="shared" si="68"/>
        <v>0</v>
      </c>
      <c r="DW80" s="44">
        <f t="shared" si="68"/>
        <v>0</v>
      </c>
      <c r="DX80" s="44">
        <f t="shared" si="68"/>
        <v>0</v>
      </c>
      <c r="DY80" s="44">
        <f t="shared" si="68"/>
        <v>28416667</v>
      </c>
      <c r="DZ80" s="44">
        <f t="shared" si="68"/>
        <v>0</v>
      </c>
      <c r="EA80" s="44">
        <f t="shared" si="68"/>
        <v>0</v>
      </c>
      <c r="EB80" s="44">
        <f t="shared" si="68"/>
        <v>0</v>
      </c>
      <c r="ED80"/>
      <c r="EE80" s="75">
        <f t="shared" si="29"/>
        <v>79666667</v>
      </c>
      <c r="EF80" s="75">
        <f t="shared" si="30"/>
        <v>49416667</v>
      </c>
    </row>
    <row r="81" spans="1:136" s="74" customFormat="1" ht="21" hidden="1" customHeight="1" x14ac:dyDescent="0.25">
      <c r="A81" s="109"/>
      <c r="B81" s="186"/>
      <c r="C81" s="186" t="s">
        <v>245</v>
      </c>
      <c r="D81" s="186" t="s">
        <v>246</v>
      </c>
      <c r="E81" s="186">
        <v>301</v>
      </c>
      <c r="F81" s="187" t="s">
        <v>240</v>
      </c>
      <c r="G81" s="44">
        <f t="shared" si="63"/>
        <v>10000000</v>
      </c>
      <c r="H81" s="45">
        <v>20000000</v>
      </c>
      <c r="I81" s="45">
        <f t="shared" si="69"/>
        <v>10000000</v>
      </c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>
        <v>10000000</v>
      </c>
      <c r="AA81" s="44"/>
      <c r="AB81" s="44"/>
      <c r="AC81" s="44"/>
      <c r="AD81" s="44"/>
      <c r="AE81" s="44"/>
      <c r="AF81" s="44"/>
      <c r="AG81" s="46">
        <f t="shared" si="55"/>
        <v>0</v>
      </c>
      <c r="AH81" s="44">
        <f t="shared" si="40"/>
        <v>0</v>
      </c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6">
        <f t="shared" si="57"/>
        <v>1</v>
      </c>
      <c r="BG81" s="44">
        <f t="shared" si="64"/>
        <v>10000000</v>
      </c>
      <c r="BH81" s="44">
        <f t="shared" si="65"/>
        <v>0</v>
      </c>
      <c r="BI81" s="44">
        <f t="shared" si="65"/>
        <v>0</v>
      </c>
      <c r="BJ81" s="44">
        <f t="shared" si="65"/>
        <v>0</v>
      </c>
      <c r="BK81" s="44">
        <f t="shared" si="65"/>
        <v>0</v>
      </c>
      <c r="BL81" s="44">
        <f t="shared" si="65"/>
        <v>0</v>
      </c>
      <c r="BM81" s="44">
        <f t="shared" si="65"/>
        <v>0</v>
      </c>
      <c r="BN81" s="44">
        <f t="shared" si="65"/>
        <v>0</v>
      </c>
      <c r="BO81" s="44">
        <f t="shared" si="65"/>
        <v>0</v>
      </c>
      <c r="BP81" s="44">
        <f t="shared" si="65"/>
        <v>0</v>
      </c>
      <c r="BQ81" s="44">
        <f t="shared" si="65"/>
        <v>0</v>
      </c>
      <c r="BR81" s="44">
        <f t="shared" si="65"/>
        <v>0</v>
      </c>
      <c r="BS81" s="44">
        <f t="shared" si="65"/>
        <v>0</v>
      </c>
      <c r="BT81" s="44">
        <f t="shared" si="65"/>
        <v>0</v>
      </c>
      <c r="BU81" s="44">
        <f t="shared" si="65"/>
        <v>0</v>
      </c>
      <c r="BV81" s="44">
        <f t="shared" si="65"/>
        <v>0</v>
      </c>
      <c r="BW81" s="44">
        <f t="shared" si="65"/>
        <v>0</v>
      </c>
      <c r="BX81" s="44">
        <f t="shared" si="66"/>
        <v>10000000</v>
      </c>
      <c r="BY81" s="44">
        <f t="shared" si="66"/>
        <v>0</v>
      </c>
      <c r="BZ81" s="44">
        <f t="shared" si="66"/>
        <v>0</v>
      </c>
      <c r="CA81" s="44">
        <f t="shared" si="66"/>
        <v>0</v>
      </c>
      <c r="CB81" s="44">
        <f t="shared" si="66"/>
        <v>0</v>
      </c>
      <c r="CC81" s="44">
        <f t="shared" si="66"/>
        <v>0</v>
      </c>
      <c r="CD81" s="44">
        <f t="shared" si="66"/>
        <v>0</v>
      </c>
      <c r="CE81" s="46">
        <f t="shared" si="44"/>
        <v>0</v>
      </c>
      <c r="CF81" s="44">
        <f t="shared" si="70"/>
        <v>0</v>
      </c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6">
        <f t="shared" si="56"/>
        <v>1</v>
      </c>
      <c r="DE81" s="44">
        <f t="shared" si="46"/>
        <v>10000000</v>
      </c>
      <c r="DF81" s="44">
        <f t="shared" si="67"/>
        <v>0</v>
      </c>
      <c r="DG81" s="44">
        <f t="shared" si="67"/>
        <v>0</v>
      </c>
      <c r="DH81" s="44">
        <f t="shared" si="67"/>
        <v>0</v>
      </c>
      <c r="DI81" s="44">
        <f t="shared" si="67"/>
        <v>0</v>
      </c>
      <c r="DJ81" s="44">
        <f t="shared" si="67"/>
        <v>0</v>
      </c>
      <c r="DK81" s="44">
        <f t="shared" si="67"/>
        <v>0</v>
      </c>
      <c r="DL81" s="44">
        <f t="shared" si="67"/>
        <v>0</v>
      </c>
      <c r="DM81" s="44">
        <f t="shared" si="67"/>
        <v>0</v>
      </c>
      <c r="DN81" s="44">
        <f t="shared" si="67"/>
        <v>0</v>
      </c>
      <c r="DO81" s="44">
        <f t="shared" si="67"/>
        <v>0</v>
      </c>
      <c r="DP81" s="44">
        <f t="shared" si="67"/>
        <v>0</v>
      </c>
      <c r="DQ81" s="44">
        <f t="shared" si="67"/>
        <v>0</v>
      </c>
      <c r="DR81" s="44">
        <f t="shared" si="67"/>
        <v>0</v>
      </c>
      <c r="DS81" s="44">
        <f t="shared" si="67"/>
        <v>0</v>
      </c>
      <c r="DT81" s="44">
        <f t="shared" si="67"/>
        <v>0</v>
      </c>
      <c r="DU81" s="44">
        <f t="shared" si="67"/>
        <v>0</v>
      </c>
      <c r="DV81" s="44">
        <f t="shared" si="68"/>
        <v>10000000</v>
      </c>
      <c r="DW81" s="44">
        <f t="shared" si="68"/>
        <v>0</v>
      </c>
      <c r="DX81" s="44">
        <f t="shared" si="68"/>
        <v>0</v>
      </c>
      <c r="DY81" s="44">
        <f t="shared" si="68"/>
        <v>0</v>
      </c>
      <c r="DZ81" s="44">
        <f t="shared" si="68"/>
        <v>0</v>
      </c>
      <c r="EA81" s="44">
        <f t="shared" si="68"/>
        <v>0</v>
      </c>
      <c r="EB81" s="44">
        <f t="shared" si="68"/>
        <v>0</v>
      </c>
      <c r="ED81"/>
      <c r="EE81" s="75">
        <f t="shared" si="29"/>
        <v>10000000</v>
      </c>
      <c r="EF81" s="75">
        <f t="shared" si="30"/>
        <v>0</v>
      </c>
    </row>
    <row r="82" spans="1:136" s="74" customFormat="1" ht="19.899999999999999" hidden="1" customHeight="1" x14ac:dyDescent="0.25">
      <c r="A82" s="109"/>
      <c r="B82" s="186"/>
      <c r="C82" s="186" t="s">
        <v>247</v>
      </c>
      <c r="D82" s="186" t="s">
        <v>248</v>
      </c>
      <c r="E82" s="186">
        <v>301</v>
      </c>
      <c r="F82" s="187" t="s">
        <v>240</v>
      </c>
      <c r="G82" s="44">
        <f t="shared" si="63"/>
        <v>10000000</v>
      </c>
      <c r="H82" s="45">
        <v>17000000</v>
      </c>
      <c r="I82" s="45">
        <f t="shared" si="69"/>
        <v>7000000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>
        <v>10000000</v>
      </c>
      <c r="AA82" s="44"/>
      <c r="AB82" s="44"/>
      <c r="AC82" s="44"/>
      <c r="AD82" s="44"/>
      <c r="AE82" s="44"/>
      <c r="AF82" s="44"/>
      <c r="AG82" s="46">
        <f t="shared" si="55"/>
        <v>0</v>
      </c>
      <c r="AH82" s="44">
        <f t="shared" si="40"/>
        <v>0</v>
      </c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6">
        <f t="shared" si="57"/>
        <v>1</v>
      </c>
      <c r="BG82" s="44">
        <f t="shared" si="64"/>
        <v>10000000</v>
      </c>
      <c r="BH82" s="44">
        <f t="shared" si="65"/>
        <v>0</v>
      </c>
      <c r="BI82" s="44">
        <f t="shared" si="65"/>
        <v>0</v>
      </c>
      <c r="BJ82" s="44">
        <f t="shared" si="65"/>
        <v>0</v>
      </c>
      <c r="BK82" s="44">
        <f t="shared" si="65"/>
        <v>0</v>
      </c>
      <c r="BL82" s="44">
        <f t="shared" si="65"/>
        <v>0</v>
      </c>
      <c r="BM82" s="44">
        <f t="shared" si="65"/>
        <v>0</v>
      </c>
      <c r="BN82" s="44">
        <f t="shared" si="65"/>
        <v>0</v>
      </c>
      <c r="BO82" s="44">
        <f t="shared" si="65"/>
        <v>0</v>
      </c>
      <c r="BP82" s="44">
        <f t="shared" si="65"/>
        <v>0</v>
      </c>
      <c r="BQ82" s="44">
        <f t="shared" si="65"/>
        <v>0</v>
      </c>
      <c r="BR82" s="44">
        <f t="shared" si="65"/>
        <v>0</v>
      </c>
      <c r="BS82" s="44">
        <f t="shared" si="65"/>
        <v>0</v>
      </c>
      <c r="BT82" s="44">
        <f t="shared" si="65"/>
        <v>0</v>
      </c>
      <c r="BU82" s="44">
        <f t="shared" si="65"/>
        <v>0</v>
      </c>
      <c r="BV82" s="44">
        <f t="shared" si="65"/>
        <v>0</v>
      </c>
      <c r="BW82" s="44">
        <f t="shared" si="65"/>
        <v>0</v>
      </c>
      <c r="BX82" s="44">
        <f t="shared" si="66"/>
        <v>10000000</v>
      </c>
      <c r="BY82" s="44">
        <f t="shared" si="66"/>
        <v>0</v>
      </c>
      <c r="BZ82" s="44">
        <f t="shared" si="66"/>
        <v>0</v>
      </c>
      <c r="CA82" s="44">
        <f t="shared" si="66"/>
        <v>0</v>
      </c>
      <c r="CB82" s="44">
        <f t="shared" si="66"/>
        <v>0</v>
      </c>
      <c r="CC82" s="44">
        <f t="shared" si="66"/>
        <v>0</v>
      </c>
      <c r="CD82" s="44">
        <f t="shared" si="66"/>
        <v>0</v>
      </c>
      <c r="CE82" s="46">
        <f t="shared" si="44"/>
        <v>0</v>
      </c>
      <c r="CF82" s="44">
        <f t="shared" si="70"/>
        <v>0</v>
      </c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6">
        <f t="shared" si="56"/>
        <v>1</v>
      </c>
      <c r="DE82" s="44">
        <f t="shared" si="46"/>
        <v>10000000</v>
      </c>
      <c r="DF82" s="44">
        <f t="shared" si="67"/>
        <v>0</v>
      </c>
      <c r="DG82" s="44">
        <f t="shared" si="67"/>
        <v>0</v>
      </c>
      <c r="DH82" s="44">
        <f t="shared" si="67"/>
        <v>0</v>
      </c>
      <c r="DI82" s="44">
        <f t="shared" si="67"/>
        <v>0</v>
      </c>
      <c r="DJ82" s="44">
        <f t="shared" si="67"/>
        <v>0</v>
      </c>
      <c r="DK82" s="44">
        <f t="shared" si="67"/>
        <v>0</v>
      </c>
      <c r="DL82" s="44">
        <f t="shared" si="67"/>
        <v>0</v>
      </c>
      <c r="DM82" s="44">
        <f t="shared" si="67"/>
        <v>0</v>
      </c>
      <c r="DN82" s="44">
        <f t="shared" si="67"/>
        <v>0</v>
      </c>
      <c r="DO82" s="44">
        <f t="shared" si="67"/>
        <v>0</v>
      </c>
      <c r="DP82" s="44">
        <f t="shared" si="67"/>
        <v>0</v>
      </c>
      <c r="DQ82" s="44">
        <f t="shared" si="67"/>
        <v>0</v>
      </c>
      <c r="DR82" s="44">
        <f t="shared" si="67"/>
        <v>0</v>
      </c>
      <c r="DS82" s="44">
        <f t="shared" si="67"/>
        <v>0</v>
      </c>
      <c r="DT82" s="44">
        <f t="shared" si="67"/>
        <v>0</v>
      </c>
      <c r="DU82" s="44">
        <f t="shared" si="67"/>
        <v>0</v>
      </c>
      <c r="DV82" s="44">
        <f t="shared" si="68"/>
        <v>10000000</v>
      </c>
      <c r="DW82" s="44">
        <f t="shared" si="68"/>
        <v>0</v>
      </c>
      <c r="DX82" s="44">
        <f t="shared" si="68"/>
        <v>0</v>
      </c>
      <c r="DY82" s="44">
        <f t="shared" si="68"/>
        <v>0</v>
      </c>
      <c r="DZ82" s="44">
        <f t="shared" si="68"/>
        <v>0</v>
      </c>
      <c r="EA82" s="44">
        <f t="shared" si="68"/>
        <v>0</v>
      </c>
      <c r="EB82" s="44">
        <f t="shared" si="68"/>
        <v>0</v>
      </c>
      <c r="ED82"/>
      <c r="EE82" s="75">
        <f t="shared" si="29"/>
        <v>10000000</v>
      </c>
      <c r="EF82" s="75">
        <f t="shared" si="30"/>
        <v>0</v>
      </c>
    </row>
    <row r="83" spans="1:136" s="74" customFormat="1" ht="33.6" hidden="1" customHeight="1" x14ac:dyDescent="0.25">
      <c r="A83" s="109"/>
      <c r="B83" s="186"/>
      <c r="C83" s="186" t="s">
        <v>249</v>
      </c>
      <c r="D83" s="186" t="s">
        <v>250</v>
      </c>
      <c r="E83" s="186">
        <v>301</v>
      </c>
      <c r="F83" s="187" t="s">
        <v>240</v>
      </c>
      <c r="G83" s="44">
        <f t="shared" si="63"/>
        <v>34800000</v>
      </c>
      <c r="H83" s="45">
        <v>41000000</v>
      </c>
      <c r="I83" s="45">
        <f t="shared" si="69"/>
        <v>6200000</v>
      </c>
      <c r="J83" s="44">
        <f>8800000</f>
        <v>8800000</v>
      </c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>
        <v>15000000</v>
      </c>
      <c r="AA83" s="44">
        <f>11000000</f>
        <v>11000000</v>
      </c>
      <c r="AB83" s="44"/>
      <c r="AC83" s="44"/>
      <c r="AD83" s="44"/>
      <c r="AE83" s="44"/>
      <c r="AF83" s="44"/>
      <c r="AG83" s="46">
        <f t="shared" si="55"/>
        <v>0.80344827586206902</v>
      </c>
      <c r="AH83" s="44">
        <f t="shared" si="40"/>
        <v>27960000</v>
      </c>
      <c r="AI83" s="44">
        <f>+'[1]Acuerdo PLAN INVERSIÓN 2021'!$L$4105</f>
        <v>8800000</v>
      </c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>
        <f>+'[10]Acuerdo PLAN INVERSIÓN 2021'!$Z$801</f>
        <v>12240000</v>
      </c>
      <c r="AZ83" s="44">
        <f>+'[4]Acuerdo PLAN INVERSIÓN 2021'!$X$2439</f>
        <v>6920000</v>
      </c>
      <c r="BA83" s="44"/>
      <c r="BB83" s="44"/>
      <c r="BC83" s="44"/>
      <c r="BD83" s="44"/>
      <c r="BE83" s="44"/>
      <c r="BF83" s="46">
        <f t="shared" si="57"/>
        <v>0.19655172413793098</v>
      </c>
      <c r="BG83" s="44">
        <f t="shared" si="64"/>
        <v>6840000</v>
      </c>
      <c r="BH83" s="44">
        <f t="shared" si="65"/>
        <v>0</v>
      </c>
      <c r="BI83" s="44">
        <f t="shared" si="65"/>
        <v>0</v>
      </c>
      <c r="BJ83" s="44">
        <f t="shared" si="65"/>
        <v>0</v>
      </c>
      <c r="BK83" s="44">
        <f t="shared" si="65"/>
        <v>0</v>
      </c>
      <c r="BL83" s="44">
        <f t="shared" si="65"/>
        <v>0</v>
      </c>
      <c r="BM83" s="44">
        <f t="shared" si="65"/>
        <v>0</v>
      </c>
      <c r="BN83" s="44">
        <f t="shared" si="65"/>
        <v>0</v>
      </c>
      <c r="BO83" s="44">
        <f t="shared" si="65"/>
        <v>0</v>
      </c>
      <c r="BP83" s="44">
        <f t="shared" si="65"/>
        <v>0</v>
      </c>
      <c r="BQ83" s="44">
        <f t="shared" si="65"/>
        <v>0</v>
      </c>
      <c r="BR83" s="44">
        <f t="shared" si="65"/>
        <v>0</v>
      </c>
      <c r="BS83" s="44">
        <f t="shared" si="65"/>
        <v>0</v>
      </c>
      <c r="BT83" s="44">
        <f t="shared" si="65"/>
        <v>0</v>
      </c>
      <c r="BU83" s="44">
        <f t="shared" si="65"/>
        <v>0</v>
      </c>
      <c r="BV83" s="44">
        <f t="shared" si="65"/>
        <v>0</v>
      </c>
      <c r="BW83" s="44">
        <f t="shared" si="65"/>
        <v>0</v>
      </c>
      <c r="BX83" s="44">
        <f t="shared" si="66"/>
        <v>2760000</v>
      </c>
      <c r="BY83" s="44">
        <f t="shared" si="66"/>
        <v>4080000</v>
      </c>
      <c r="BZ83" s="44">
        <f t="shared" si="66"/>
        <v>0</v>
      </c>
      <c r="CA83" s="44">
        <f t="shared" si="66"/>
        <v>0</v>
      </c>
      <c r="CB83" s="44">
        <f t="shared" si="66"/>
        <v>0</v>
      </c>
      <c r="CC83" s="44">
        <f t="shared" si="66"/>
        <v>0</v>
      </c>
      <c r="CD83" s="44">
        <f t="shared" si="66"/>
        <v>0</v>
      </c>
      <c r="CE83" s="46">
        <f t="shared" si="44"/>
        <v>0.34482758620689657</v>
      </c>
      <c r="CF83" s="44">
        <f t="shared" si="70"/>
        <v>12000000</v>
      </c>
      <c r="CG83" s="44">
        <f>+'[1]Acuerdo PLAN INVERSIÓN 2021'!$H$4112</f>
        <v>3920000</v>
      </c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>
        <f>+'[10]Acuerdo PLAN INVERSIÓN 2021'!$H$799</f>
        <v>6120000</v>
      </c>
      <c r="CX83" s="44">
        <f>+'[3]Acuerdo PLAN INVERSIÓN 2021'!$H$2918</f>
        <v>1960000</v>
      </c>
      <c r="CY83" s="44"/>
      <c r="CZ83" s="44"/>
      <c r="DA83" s="44"/>
      <c r="DB83" s="44"/>
      <c r="DC83" s="44"/>
      <c r="DD83" s="46">
        <f t="shared" si="56"/>
        <v>0.65517241379310343</v>
      </c>
      <c r="DE83" s="44">
        <f t="shared" si="46"/>
        <v>22800000</v>
      </c>
      <c r="DF83" s="44">
        <f t="shared" si="67"/>
        <v>4880000</v>
      </c>
      <c r="DG83" s="44">
        <f t="shared" si="67"/>
        <v>0</v>
      </c>
      <c r="DH83" s="44">
        <f t="shared" si="67"/>
        <v>0</v>
      </c>
      <c r="DI83" s="44">
        <f t="shared" si="67"/>
        <v>0</v>
      </c>
      <c r="DJ83" s="44">
        <f t="shared" si="67"/>
        <v>0</v>
      </c>
      <c r="DK83" s="44">
        <f t="shared" si="67"/>
        <v>0</v>
      </c>
      <c r="DL83" s="44">
        <f t="shared" si="67"/>
        <v>0</v>
      </c>
      <c r="DM83" s="44">
        <f t="shared" si="67"/>
        <v>0</v>
      </c>
      <c r="DN83" s="44">
        <f t="shared" si="67"/>
        <v>0</v>
      </c>
      <c r="DO83" s="44">
        <f t="shared" si="67"/>
        <v>0</v>
      </c>
      <c r="DP83" s="44">
        <f t="shared" si="67"/>
        <v>0</v>
      </c>
      <c r="DQ83" s="44">
        <f t="shared" si="67"/>
        <v>0</v>
      </c>
      <c r="DR83" s="44">
        <f t="shared" si="67"/>
        <v>0</v>
      </c>
      <c r="DS83" s="44">
        <f t="shared" si="67"/>
        <v>0</v>
      </c>
      <c r="DT83" s="44">
        <f t="shared" si="67"/>
        <v>0</v>
      </c>
      <c r="DU83" s="44">
        <f t="shared" si="67"/>
        <v>0</v>
      </c>
      <c r="DV83" s="44">
        <f t="shared" si="68"/>
        <v>8880000</v>
      </c>
      <c r="DW83" s="44">
        <f t="shared" si="68"/>
        <v>9040000</v>
      </c>
      <c r="DX83" s="44">
        <f t="shared" si="68"/>
        <v>0</v>
      </c>
      <c r="DY83" s="44">
        <f t="shared" si="68"/>
        <v>0</v>
      </c>
      <c r="DZ83" s="44">
        <f t="shared" si="68"/>
        <v>0</v>
      </c>
      <c r="EA83" s="44">
        <f t="shared" si="68"/>
        <v>0</v>
      </c>
      <c r="EB83" s="44">
        <f t="shared" si="68"/>
        <v>0</v>
      </c>
      <c r="ED83"/>
      <c r="EE83" s="75">
        <f t="shared" si="29"/>
        <v>34800000</v>
      </c>
      <c r="EF83" s="75">
        <f t="shared" si="30"/>
        <v>12000000</v>
      </c>
    </row>
    <row r="84" spans="1:136" s="74" customFormat="1" ht="33" hidden="1" customHeight="1" x14ac:dyDescent="0.25">
      <c r="A84" s="109"/>
      <c r="B84" s="186"/>
      <c r="C84" s="186" t="s">
        <v>251</v>
      </c>
      <c r="D84" s="186" t="s">
        <v>252</v>
      </c>
      <c r="E84" s="186">
        <v>301</v>
      </c>
      <c r="F84" s="187" t="s">
        <v>240</v>
      </c>
      <c r="G84" s="44">
        <f t="shared" si="63"/>
        <v>85000000</v>
      </c>
      <c r="H84" s="45">
        <v>141000000</v>
      </c>
      <c r="I84" s="45">
        <f t="shared" si="69"/>
        <v>56000000</v>
      </c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>
        <f>15000000</f>
        <v>15000000</v>
      </c>
      <c r="AB84" s="44"/>
      <c r="AC84" s="44">
        <v>70000000</v>
      </c>
      <c r="AD84" s="44"/>
      <c r="AE84" s="44"/>
      <c r="AF84" s="44"/>
      <c r="AG84" s="46">
        <f t="shared" si="55"/>
        <v>0.85166863529411763</v>
      </c>
      <c r="AH84" s="44">
        <f t="shared" si="40"/>
        <v>72391834</v>
      </c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>
        <f>+'[4]Acuerdo PLAN INVERSIÓN 2021'!$X$2447</f>
        <v>2391834</v>
      </c>
      <c r="BA84" s="44"/>
      <c r="BB84" s="44">
        <f>+'[4]Acuerdo PLAN INVERSIÓN 2021'!$AB$2447</f>
        <v>70000000</v>
      </c>
      <c r="BC84" s="44"/>
      <c r="BD84" s="44"/>
      <c r="BE84" s="44"/>
      <c r="BF84" s="110">
        <f t="shared" si="57"/>
        <v>0.14833136470588237</v>
      </c>
      <c r="BG84" s="44">
        <f t="shared" si="64"/>
        <v>12608166</v>
      </c>
      <c r="BH84" s="44">
        <f t="shared" si="65"/>
        <v>0</v>
      </c>
      <c r="BI84" s="44">
        <f t="shared" si="65"/>
        <v>0</v>
      </c>
      <c r="BJ84" s="44">
        <f t="shared" si="65"/>
        <v>0</v>
      </c>
      <c r="BK84" s="44">
        <f t="shared" si="65"/>
        <v>0</v>
      </c>
      <c r="BL84" s="44">
        <f t="shared" si="65"/>
        <v>0</v>
      </c>
      <c r="BM84" s="44">
        <f t="shared" si="65"/>
        <v>0</v>
      </c>
      <c r="BN84" s="44">
        <f t="shared" si="65"/>
        <v>0</v>
      </c>
      <c r="BO84" s="44">
        <f t="shared" si="65"/>
        <v>0</v>
      </c>
      <c r="BP84" s="44">
        <f t="shared" si="65"/>
        <v>0</v>
      </c>
      <c r="BQ84" s="44">
        <f t="shared" si="65"/>
        <v>0</v>
      </c>
      <c r="BR84" s="44">
        <f t="shared" si="65"/>
        <v>0</v>
      </c>
      <c r="BS84" s="44">
        <f t="shared" si="65"/>
        <v>0</v>
      </c>
      <c r="BT84" s="44">
        <f t="shared" si="65"/>
        <v>0</v>
      </c>
      <c r="BU84" s="44">
        <f t="shared" si="65"/>
        <v>0</v>
      </c>
      <c r="BV84" s="44">
        <f t="shared" si="65"/>
        <v>0</v>
      </c>
      <c r="BW84" s="44">
        <f t="shared" si="65"/>
        <v>0</v>
      </c>
      <c r="BX84" s="44">
        <f t="shared" si="66"/>
        <v>0</v>
      </c>
      <c r="BY84" s="44">
        <f t="shared" si="66"/>
        <v>12608166</v>
      </c>
      <c r="BZ84" s="44">
        <f t="shared" si="66"/>
        <v>0</v>
      </c>
      <c r="CA84" s="44">
        <f t="shared" si="66"/>
        <v>0</v>
      </c>
      <c r="CB84" s="44">
        <f t="shared" si="66"/>
        <v>0</v>
      </c>
      <c r="CC84" s="44">
        <f t="shared" si="66"/>
        <v>0</v>
      </c>
      <c r="CD84" s="44">
        <f t="shared" si="66"/>
        <v>0</v>
      </c>
      <c r="CE84" s="46">
        <f t="shared" si="44"/>
        <v>0.78037647058823534</v>
      </c>
      <c r="CF84" s="44">
        <f t="shared" si="70"/>
        <v>66332000</v>
      </c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>
        <f>+'[2]Acuerdo PLAN INVERSIÓN 2021'!$H$3384+'[2]Acuerdo PLAN INVERSIÓN 2021'!$H$3387+'[2]Acuerdo PLAN INVERSIÓN 2021'!$H$3392+'[2]Acuerdo PLAN INVERSIÓN 2021'!$H$3395</f>
        <v>66332000</v>
      </c>
      <c r="DA84" s="44"/>
      <c r="DB84" s="44"/>
      <c r="DC84" s="44"/>
      <c r="DD84" s="110">
        <f t="shared" si="56"/>
        <v>0.21962352941176466</v>
      </c>
      <c r="DE84" s="44">
        <f t="shared" si="46"/>
        <v>18668000</v>
      </c>
      <c r="DF84" s="44">
        <f t="shared" si="67"/>
        <v>0</v>
      </c>
      <c r="DG84" s="44">
        <f t="shared" si="67"/>
        <v>0</v>
      </c>
      <c r="DH84" s="44">
        <f t="shared" si="67"/>
        <v>0</v>
      </c>
      <c r="DI84" s="44">
        <f t="shared" si="67"/>
        <v>0</v>
      </c>
      <c r="DJ84" s="44">
        <f t="shared" si="67"/>
        <v>0</v>
      </c>
      <c r="DK84" s="44">
        <f t="shared" si="67"/>
        <v>0</v>
      </c>
      <c r="DL84" s="44">
        <f t="shared" si="67"/>
        <v>0</v>
      </c>
      <c r="DM84" s="44">
        <f t="shared" si="67"/>
        <v>0</v>
      </c>
      <c r="DN84" s="44">
        <f t="shared" si="67"/>
        <v>0</v>
      </c>
      <c r="DO84" s="44">
        <f t="shared" si="67"/>
        <v>0</v>
      </c>
      <c r="DP84" s="44">
        <f t="shared" si="67"/>
        <v>0</v>
      </c>
      <c r="DQ84" s="44">
        <f t="shared" si="67"/>
        <v>0</v>
      </c>
      <c r="DR84" s="44">
        <f t="shared" si="67"/>
        <v>0</v>
      </c>
      <c r="DS84" s="44">
        <f t="shared" si="67"/>
        <v>0</v>
      </c>
      <c r="DT84" s="44">
        <f t="shared" si="67"/>
        <v>0</v>
      </c>
      <c r="DU84" s="44">
        <f t="shared" si="67"/>
        <v>0</v>
      </c>
      <c r="DV84" s="44">
        <f t="shared" si="68"/>
        <v>0</v>
      </c>
      <c r="DW84" s="44">
        <f t="shared" si="68"/>
        <v>15000000</v>
      </c>
      <c r="DX84" s="44">
        <f t="shared" si="68"/>
        <v>0</v>
      </c>
      <c r="DY84" s="44">
        <f t="shared" si="68"/>
        <v>3668000</v>
      </c>
      <c r="DZ84" s="44">
        <f t="shared" si="68"/>
        <v>0</v>
      </c>
      <c r="EA84" s="44">
        <f t="shared" si="68"/>
        <v>0</v>
      </c>
      <c r="EB84" s="44">
        <f t="shared" si="68"/>
        <v>0</v>
      </c>
      <c r="ED84"/>
      <c r="EE84" s="75">
        <f t="shared" si="29"/>
        <v>85000000</v>
      </c>
      <c r="EF84" s="75">
        <f t="shared" si="30"/>
        <v>66332000</v>
      </c>
    </row>
    <row r="85" spans="1:136" ht="27.75" hidden="1" customHeight="1" x14ac:dyDescent="0.25">
      <c r="A85" s="109"/>
      <c r="B85" s="186" t="s">
        <v>253</v>
      </c>
      <c r="C85" s="186" t="s">
        <v>254</v>
      </c>
      <c r="D85" s="186" t="s">
        <v>255</v>
      </c>
      <c r="E85" s="186">
        <v>301</v>
      </c>
      <c r="F85" s="187" t="s">
        <v>256</v>
      </c>
      <c r="G85" s="44">
        <f t="shared" si="63"/>
        <v>68000000</v>
      </c>
      <c r="H85" s="45">
        <v>97200000</v>
      </c>
      <c r="I85" s="45">
        <f t="shared" si="69"/>
        <v>29200000</v>
      </c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>
        <v>60000000</v>
      </c>
      <c r="AD85" s="44"/>
      <c r="AE85" s="44"/>
      <c r="AF85" s="44">
        <f>3000000+5000000</f>
        <v>8000000</v>
      </c>
      <c r="AG85" s="46">
        <f t="shared" si="55"/>
        <v>0.77352941176470591</v>
      </c>
      <c r="AH85" s="44">
        <f t="shared" si="40"/>
        <v>52600000</v>
      </c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>
        <f>+'[6]Acuerdo PLAN INVERSIÓN 2021'!$AB$4952</f>
        <v>44600000</v>
      </c>
      <c r="BC85" s="44"/>
      <c r="BD85" s="44"/>
      <c r="BE85" s="44">
        <f>+'[6]Acuerdo PLAN INVERSIÓN 2021'!$AF$4952</f>
        <v>8000000</v>
      </c>
      <c r="BF85" s="46">
        <f t="shared" si="57"/>
        <v>0.22647058823529409</v>
      </c>
      <c r="BG85" s="44">
        <f t="shared" si="64"/>
        <v>15400000</v>
      </c>
      <c r="BH85" s="44">
        <f t="shared" si="65"/>
        <v>0</v>
      </c>
      <c r="BI85" s="44">
        <f t="shared" si="65"/>
        <v>0</v>
      </c>
      <c r="BJ85" s="44">
        <f t="shared" si="65"/>
        <v>0</v>
      </c>
      <c r="BK85" s="44">
        <f t="shared" si="65"/>
        <v>0</v>
      </c>
      <c r="BL85" s="44">
        <f t="shared" si="65"/>
        <v>0</v>
      </c>
      <c r="BM85" s="44">
        <f t="shared" si="65"/>
        <v>0</v>
      </c>
      <c r="BN85" s="44">
        <f t="shared" si="65"/>
        <v>0</v>
      </c>
      <c r="BO85" s="44">
        <f t="shared" si="65"/>
        <v>0</v>
      </c>
      <c r="BP85" s="44">
        <f t="shared" si="65"/>
        <v>0</v>
      </c>
      <c r="BQ85" s="44">
        <f t="shared" si="65"/>
        <v>0</v>
      </c>
      <c r="BR85" s="44">
        <f t="shared" si="65"/>
        <v>0</v>
      </c>
      <c r="BS85" s="44">
        <f t="shared" si="65"/>
        <v>0</v>
      </c>
      <c r="BT85" s="44">
        <f t="shared" si="65"/>
        <v>0</v>
      </c>
      <c r="BU85" s="44">
        <f t="shared" si="65"/>
        <v>0</v>
      </c>
      <c r="BV85" s="44">
        <f t="shared" si="65"/>
        <v>0</v>
      </c>
      <c r="BW85" s="44">
        <f t="shared" si="65"/>
        <v>0</v>
      </c>
      <c r="BX85" s="44">
        <f t="shared" si="66"/>
        <v>0</v>
      </c>
      <c r="BY85" s="44">
        <f t="shared" si="66"/>
        <v>0</v>
      </c>
      <c r="BZ85" s="44">
        <f t="shared" si="66"/>
        <v>0</v>
      </c>
      <c r="CA85" s="44">
        <f t="shared" si="66"/>
        <v>15400000</v>
      </c>
      <c r="CB85" s="44">
        <f t="shared" si="66"/>
        <v>0</v>
      </c>
      <c r="CC85" s="44">
        <f t="shared" si="66"/>
        <v>0</v>
      </c>
      <c r="CD85" s="44">
        <f t="shared" si="66"/>
        <v>0</v>
      </c>
      <c r="CE85" s="46">
        <f t="shared" si="44"/>
        <v>0.11739708823529411</v>
      </c>
      <c r="CF85" s="44">
        <f t="shared" si="70"/>
        <v>7983002</v>
      </c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>
        <f>+'[4]Acuerdo PLAN INVERSIÓN 2021'!$H$2463+'[5]Acuerdo PLAN INVERSIÓN 2021'!$H$5801</f>
        <v>7983002</v>
      </c>
      <c r="DD85" s="46">
        <f t="shared" si="56"/>
        <v>0.88260291176470584</v>
      </c>
      <c r="DE85" s="44">
        <f t="shared" si="46"/>
        <v>60016998</v>
      </c>
      <c r="DF85" s="44">
        <f t="shared" si="67"/>
        <v>0</v>
      </c>
      <c r="DG85" s="44">
        <f t="shared" si="67"/>
        <v>0</v>
      </c>
      <c r="DH85" s="44">
        <f t="shared" si="67"/>
        <v>0</v>
      </c>
      <c r="DI85" s="44">
        <f t="shared" si="67"/>
        <v>0</v>
      </c>
      <c r="DJ85" s="44">
        <f t="shared" si="67"/>
        <v>0</v>
      </c>
      <c r="DK85" s="44">
        <f t="shared" si="67"/>
        <v>0</v>
      </c>
      <c r="DL85" s="44">
        <f t="shared" si="67"/>
        <v>0</v>
      </c>
      <c r="DM85" s="44">
        <f t="shared" si="67"/>
        <v>0</v>
      </c>
      <c r="DN85" s="44">
        <f t="shared" si="67"/>
        <v>0</v>
      </c>
      <c r="DO85" s="44">
        <f t="shared" si="67"/>
        <v>0</v>
      </c>
      <c r="DP85" s="44">
        <f t="shared" si="67"/>
        <v>0</v>
      </c>
      <c r="DQ85" s="44">
        <f t="shared" si="67"/>
        <v>0</v>
      </c>
      <c r="DR85" s="44">
        <f t="shared" si="67"/>
        <v>0</v>
      </c>
      <c r="DS85" s="44">
        <f t="shared" si="67"/>
        <v>0</v>
      </c>
      <c r="DT85" s="44">
        <f t="shared" si="67"/>
        <v>0</v>
      </c>
      <c r="DU85" s="44">
        <f t="shared" si="67"/>
        <v>0</v>
      </c>
      <c r="DV85" s="44">
        <f t="shared" si="68"/>
        <v>0</v>
      </c>
      <c r="DW85" s="44">
        <f t="shared" si="68"/>
        <v>0</v>
      </c>
      <c r="DX85" s="44">
        <f t="shared" si="68"/>
        <v>0</v>
      </c>
      <c r="DY85" s="44">
        <f t="shared" si="68"/>
        <v>60000000</v>
      </c>
      <c r="DZ85" s="44">
        <f t="shared" si="68"/>
        <v>0</v>
      </c>
      <c r="EA85" s="44">
        <f t="shared" si="68"/>
        <v>0</v>
      </c>
      <c r="EB85" s="44">
        <f t="shared" si="68"/>
        <v>16998</v>
      </c>
      <c r="ED85" s="125"/>
      <c r="EE85" s="75">
        <f t="shared" si="29"/>
        <v>68000000</v>
      </c>
      <c r="EF85" s="75">
        <f t="shared" si="30"/>
        <v>7983002</v>
      </c>
    </row>
    <row r="86" spans="1:136" ht="20.25" hidden="1" customHeight="1" x14ac:dyDescent="0.25">
      <c r="A86" s="109"/>
      <c r="B86" s="186"/>
      <c r="C86" s="186" t="s">
        <v>257</v>
      </c>
      <c r="D86" s="186" t="s">
        <v>258</v>
      </c>
      <c r="E86" s="186">
        <v>301</v>
      </c>
      <c r="F86" s="187" t="s">
        <v>240</v>
      </c>
      <c r="G86" s="44">
        <f t="shared" si="63"/>
        <v>300000000</v>
      </c>
      <c r="H86" s="45">
        <v>421000000</v>
      </c>
      <c r="I86" s="45">
        <f t="shared" si="69"/>
        <v>121000000</v>
      </c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>
        <v>300000000</v>
      </c>
      <c r="AD86" s="44"/>
      <c r="AE86" s="44"/>
      <c r="AF86" s="44"/>
      <c r="AG86" s="46">
        <f t="shared" si="55"/>
        <v>0.99983333333333335</v>
      </c>
      <c r="AH86" s="44">
        <f t="shared" si="40"/>
        <v>299950000</v>
      </c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>
        <f>+'[6]Acuerdo PLAN INVERSIÓN 2021'!$AB$4967</f>
        <v>299950000</v>
      </c>
      <c r="BC86" s="44"/>
      <c r="BD86" s="44"/>
      <c r="BE86" s="44"/>
      <c r="BF86" s="46">
        <f t="shared" si="57"/>
        <v>1.6666666666664831E-4</v>
      </c>
      <c r="BG86" s="44">
        <f t="shared" si="64"/>
        <v>50000</v>
      </c>
      <c r="BH86" s="44">
        <f t="shared" si="65"/>
        <v>0</v>
      </c>
      <c r="BI86" s="44">
        <f t="shared" si="65"/>
        <v>0</v>
      </c>
      <c r="BJ86" s="44">
        <f t="shared" si="65"/>
        <v>0</v>
      </c>
      <c r="BK86" s="44">
        <f t="shared" si="65"/>
        <v>0</v>
      </c>
      <c r="BL86" s="44">
        <f t="shared" si="65"/>
        <v>0</v>
      </c>
      <c r="BM86" s="44">
        <f t="shared" si="65"/>
        <v>0</v>
      </c>
      <c r="BN86" s="44">
        <f t="shared" si="65"/>
        <v>0</v>
      </c>
      <c r="BO86" s="44">
        <f t="shared" si="65"/>
        <v>0</v>
      </c>
      <c r="BP86" s="44">
        <f t="shared" si="65"/>
        <v>0</v>
      </c>
      <c r="BQ86" s="44">
        <f t="shared" si="65"/>
        <v>0</v>
      </c>
      <c r="BR86" s="44">
        <f t="shared" si="65"/>
        <v>0</v>
      </c>
      <c r="BS86" s="44">
        <f t="shared" si="65"/>
        <v>0</v>
      </c>
      <c r="BT86" s="44">
        <f t="shared" si="65"/>
        <v>0</v>
      </c>
      <c r="BU86" s="44">
        <f t="shared" si="65"/>
        <v>0</v>
      </c>
      <c r="BV86" s="44">
        <f t="shared" si="65"/>
        <v>0</v>
      </c>
      <c r="BW86" s="44">
        <f t="shared" si="65"/>
        <v>0</v>
      </c>
      <c r="BX86" s="44">
        <f t="shared" si="66"/>
        <v>0</v>
      </c>
      <c r="BY86" s="44">
        <f t="shared" si="66"/>
        <v>0</v>
      </c>
      <c r="BZ86" s="44">
        <f t="shared" si="66"/>
        <v>0</v>
      </c>
      <c r="CA86" s="44">
        <f t="shared" si="66"/>
        <v>50000</v>
      </c>
      <c r="CB86" s="44">
        <f t="shared" si="66"/>
        <v>0</v>
      </c>
      <c r="CC86" s="44">
        <f t="shared" si="66"/>
        <v>0</v>
      </c>
      <c r="CD86" s="44">
        <f t="shared" si="66"/>
        <v>0</v>
      </c>
      <c r="CE86" s="46">
        <f t="shared" si="44"/>
        <v>0.97058333333333335</v>
      </c>
      <c r="CF86" s="44">
        <f t="shared" si="70"/>
        <v>291175000</v>
      </c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>
        <f>+'[5]Acuerdo PLAN INVERSIÓN 2021'!$H$5804</f>
        <v>291175000</v>
      </c>
      <c r="DA86" s="44"/>
      <c r="DB86" s="44"/>
      <c r="DC86" s="44"/>
      <c r="DD86" s="46">
        <f t="shared" si="56"/>
        <v>2.9416666666666647E-2</v>
      </c>
      <c r="DE86" s="44">
        <f t="shared" si="46"/>
        <v>8825000</v>
      </c>
      <c r="DF86" s="44">
        <f t="shared" si="67"/>
        <v>0</v>
      </c>
      <c r="DG86" s="44">
        <f t="shared" si="67"/>
        <v>0</v>
      </c>
      <c r="DH86" s="44">
        <f t="shared" si="67"/>
        <v>0</v>
      </c>
      <c r="DI86" s="44">
        <f t="shared" si="67"/>
        <v>0</v>
      </c>
      <c r="DJ86" s="44">
        <f t="shared" si="67"/>
        <v>0</v>
      </c>
      <c r="DK86" s="44">
        <f t="shared" si="67"/>
        <v>0</v>
      </c>
      <c r="DL86" s="44">
        <f t="shared" si="67"/>
        <v>0</v>
      </c>
      <c r="DM86" s="44">
        <f t="shared" si="67"/>
        <v>0</v>
      </c>
      <c r="DN86" s="44">
        <f t="shared" si="67"/>
        <v>0</v>
      </c>
      <c r="DO86" s="44">
        <f t="shared" si="67"/>
        <v>0</v>
      </c>
      <c r="DP86" s="44">
        <f t="shared" si="67"/>
        <v>0</v>
      </c>
      <c r="DQ86" s="44">
        <f t="shared" si="67"/>
        <v>0</v>
      </c>
      <c r="DR86" s="44">
        <f t="shared" si="67"/>
        <v>0</v>
      </c>
      <c r="DS86" s="44">
        <f t="shared" si="67"/>
        <v>0</v>
      </c>
      <c r="DT86" s="44">
        <f t="shared" si="67"/>
        <v>0</v>
      </c>
      <c r="DU86" s="44">
        <f t="shared" si="67"/>
        <v>0</v>
      </c>
      <c r="DV86" s="44">
        <f t="shared" si="68"/>
        <v>0</v>
      </c>
      <c r="DW86" s="44">
        <f t="shared" si="68"/>
        <v>0</v>
      </c>
      <c r="DX86" s="44">
        <f t="shared" si="68"/>
        <v>0</v>
      </c>
      <c r="DY86" s="44">
        <f t="shared" si="68"/>
        <v>8825000</v>
      </c>
      <c r="DZ86" s="44">
        <f t="shared" si="68"/>
        <v>0</v>
      </c>
      <c r="EA86" s="44">
        <f t="shared" si="68"/>
        <v>0</v>
      </c>
      <c r="EB86" s="44">
        <f t="shared" si="68"/>
        <v>0</v>
      </c>
      <c r="ED86" s="125"/>
      <c r="EE86" s="75">
        <f t="shared" si="29"/>
        <v>300000000</v>
      </c>
      <c r="EF86" s="75">
        <f t="shared" si="30"/>
        <v>291175000</v>
      </c>
    </row>
    <row r="87" spans="1:136" ht="31.5" hidden="1" customHeight="1" x14ac:dyDescent="0.25">
      <c r="A87" s="109"/>
      <c r="B87" s="186"/>
      <c r="C87" s="186" t="s">
        <v>259</v>
      </c>
      <c r="D87" s="186" t="s">
        <v>260</v>
      </c>
      <c r="E87" s="186">
        <v>301</v>
      </c>
      <c r="F87" s="187" t="s">
        <v>261</v>
      </c>
      <c r="G87" s="44">
        <f t="shared" si="63"/>
        <v>305000000</v>
      </c>
      <c r="H87" s="45">
        <v>130000000</v>
      </c>
      <c r="I87" s="45">
        <f t="shared" si="69"/>
        <v>-175000000</v>
      </c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>
        <f>200000000</f>
        <v>200000000</v>
      </c>
      <c r="AB87" s="44"/>
      <c r="AC87" s="44">
        <v>100000000</v>
      </c>
      <c r="AD87" s="44"/>
      <c r="AE87" s="44"/>
      <c r="AF87" s="44">
        <v>5000000</v>
      </c>
      <c r="AG87" s="46">
        <f t="shared" si="55"/>
        <v>0.79416444590163937</v>
      </c>
      <c r="AH87" s="44">
        <f t="shared" si="40"/>
        <v>242220156</v>
      </c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>
        <f>+'[6]Acuerdo PLAN INVERSIÓN 2021'!$X$5051</f>
        <v>148220156</v>
      </c>
      <c r="BA87" s="44"/>
      <c r="BB87" s="44">
        <f>+'[4]Acuerdo PLAN INVERSIÓN 2021'!$AB$2503</f>
        <v>92000000</v>
      </c>
      <c r="BC87" s="44"/>
      <c r="BD87" s="44"/>
      <c r="BE87" s="44">
        <f>+'[4]Acuerdo PLAN INVERSIÓN 2021'!$AF$2503</f>
        <v>2000000</v>
      </c>
      <c r="BF87" s="46">
        <f t="shared" si="57"/>
        <v>0.20583555409836063</v>
      </c>
      <c r="BG87" s="44">
        <f t="shared" si="64"/>
        <v>62779844</v>
      </c>
      <c r="BH87" s="44">
        <f t="shared" si="65"/>
        <v>0</v>
      </c>
      <c r="BI87" s="44">
        <f t="shared" si="65"/>
        <v>0</v>
      </c>
      <c r="BJ87" s="44">
        <f t="shared" si="65"/>
        <v>0</v>
      </c>
      <c r="BK87" s="44">
        <f t="shared" si="65"/>
        <v>0</v>
      </c>
      <c r="BL87" s="44">
        <f t="shared" si="65"/>
        <v>0</v>
      </c>
      <c r="BM87" s="44">
        <f t="shared" si="65"/>
        <v>0</v>
      </c>
      <c r="BN87" s="44">
        <f t="shared" si="65"/>
        <v>0</v>
      </c>
      <c r="BO87" s="44">
        <f t="shared" si="65"/>
        <v>0</v>
      </c>
      <c r="BP87" s="44">
        <f t="shared" si="65"/>
        <v>0</v>
      </c>
      <c r="BQ87" s="44">
        <f t="shared" si="65"/>
        <v>0</v>
      </c>
      <c r="BR87" s="44">
        <f t="shared" si="65"/>
        <v>0</v>
      </c>
      <c r="BS87" s="44">
        <f t="shared" si="65"/>
        <v>0</v>
      </c>
      <c r="BT87" s="44">
        <f t="shared" si="65"/>
        <v>0</v>
      </c>
      <c r="BU87" s="44">
        <f t="shared" si="65"/>
        <v>0</v>
      </c>
      <c r="BV87" s="44">
        <f t="shared" si="65"/>
        <v>0</v>
      </c>
      <c r="BW87" s="44">
        <f t="shared" si="65"/>
        <v>0</v>
      </c>
      <c r="BX87" s="44">
        <f t="shared" si="66"/>
        <v>0</v>
      </c>
      <c r="BY87" s="44">
        <f t="shared" si="66"/>
        <v>51779844</v>
      </c>
      <c r="BZ87" s="44">
        <f t="shared" si="66"/>
        <v>0</v>
      </c>
      <c r="CA87" s="44">
        <f t="shared" si="66"/>
        <v>8000000</v>
      </c>
      <c r="CB87" s="44">
        <f t="shared" si="66"/>
        <v>0</v>
      </c>
      <c r="CC87" s="44">
        <f t="shared" si="66"/>
        <v>0</v>
      </c>
      <c r="CD87" s="44">
        <f t="shared" si="66"/>
        <v>3000000</v>
      </c>
      <c r="CE87" s="46">
        <f t="shared" si="44"/>
        <v>0.33443985573770491</v>
      </c>
      <c r="CF87" s="44">
        <f t="shared" si="70"/>
        <v>102004156</v>
      </c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>
        <f>+'[5]Acuerdo PLAN INVERSIÓN 2021'!$H$5894-CZ87</f>
        <v>10424156</v>
      </c>
      <c r="CY87" s="44"/>
      <c r="CZ87" s="44">
        <f>+'[5]Acuerdo PLAN INVERSIÓN 2021'!$H$5901</f>
        <v>91580000</v>
      </c>
      <c r="DA87" s="44"/>
      <c r="DB87" s="44"/>
      <c r="DC87" s="44"/>
      <c r="DD87" s="46">
        <f t="shared" si="56"/>
        <v>0.66556014426229515</v>
      </c>
      <c r="DE87" s="44">
        <f t="shared" si="46"/>
        <v>202995844</v>
      </c>
      <c r="DF87" s="44">
        <f t="shared" si="67"/>
        <v>0</v>
      </c>
      <c r="DG87" s="44">
        <f t="shared" si="67"/>
        <v>0</v>
      </c>
      <c r="DH87" s="44">
        <f t="shared" si="67"/>
        <v>0</v>
      </c>
      <c r="DI87" s="44">
        <f t="shared" si="67"/>
        <v>0</v>
      </c>
      <c r="DJ87" s="44">
        <f t="shared" si="67"/>
        <v>0</v>
      </c>
      <c r="DK87" s="44">
        <f t="shared" si="67"/>
        <v>0</v>
      </c>
      <c r="DL87" s="44">
        <f t="shared" si="67"/>
        <v>0</v>
      </c>
      <c r="DM87" s="44">
        <f t="shared" si="67"/>
        <v>0</v>
      </c>
      <c r="DN87" s="44">
        <f t="shared" si="67"/>
        <v>0</v>
      </c>
      <c r="DO87" s="44">
        <f t="shared" si="67"/>
        <v>0</v>
      </c>
      <c r="DP87" s="44">
        <f t="shared" si="67"/>
        <v>0</v>
      </c>
      <c r="DQ87" s="44">
        <f t="shared" si="67"/>
        <v>0</v>
      </c>
      <c r="DR87" s="44">
        <f t="shared" si="67"/>
        <v>0</v>
      </c>
      <c r="DS87" s="44">
        <f t="shared" si="67"/>
        <v>0</v>
      </c>
      <c r="DT87" s="44">
        <f t="shared" si="67"/>
        <v>0</v>
      </c>
      <c r="DU87" s="44">
        <f t="shared" si="67"/>
        <v>0</v>
      </c>
      <c r="DV87" s="44">
        <f t="shared" si="68"/>
        <v>0</v>
      </c>
      <c r="DW87" s="44">
        <f t="shared" si="68"/>
        <v>189575844</v>
      </c>
      <c r="DX87" s="44">
        <f t="shared" si="68"/>
        <v>0</v>
      </c>
      <c r="DY87" s="44">
        <f t="shared" si="68"/>
        <v>8420000</v>
      </c>
      <c r="DZ87" s="44">
        <f t="shared" si="68"/>
        <v>0</v>
      </c>
      <c r="EA87" s="44">
        <f t="shared" si="68"/>
        <v>0</v>
      </c>
      <c r="EB87" s="44">
        <f t="shared" si="68"/>
        <v>5000000</v>
      </c>
      <c r="EE87" s="75">
        <f t="shared" si="29"/>
        <v>305000000</v>
      </c>
      <c r="EF87" s="75">
        <f t="shared" si="30"/>
        <v>102004156</v>
      </c>
    </row>
    <row r="88" spans="1:136" s="74" customFormat="1" ht="19.149999999999999" hidden="1" customHeight="1" x14ac:dyDescent="0.25">
      <c r="A88" s="109"/>
      <c r="B88" s="186" t="s">
        <v>262</v>
      </c>
      <c r="C88" s="186" t="s">
        <v>263</v>
      </c>
      <c r="D88" s="186" t="s">
        <v>264</v>
      </c>
      <c r="E88" s="186">
        <v>301</v>
      </c>
      <c r="F88" s="187" t="s">
        <v>240</v>
      </c>
      <c r="G88" s="44">
        <f t="shared" si="63"/>
        <v>238583573</v>
      </c>
      <c r="H88" s="45">
        <v>205624500</v>
      </c>
      <c r="I88" s="45">
        <f t="shared" si="69"/>
        <v>-32959073</v>
      </c>
      <c r="J88" s="87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>
        <v>91142282</v>
      </c>
      <c r="AB88" s="44"/>
      <c r="AC88" s="87">
        <v>147441291</v>
      </c>
      <c r="AD88" s="44"/>
      <c r="AE88" s="44"/>
      <c r="AF88" s="44"/>
      <c r="AG88" s="46">
        <f t="shared" si="55"/>
        <v>0.87450124657157347</v>
      </c>
      <c r="AH88" s="44">
        <f t="shared" si="40"/>
        <v>208641632</v>
      </c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>
        <f>+'[1]Acuerdo PLAN INVERSIÓN 2021'!$X$4224</f>
        <v>63499350</v>
      </c>
      <c r="BA88" s="44"/>
      <c r="BB88" s="44">
        <f>+'[6]Acuerdo PLAN INVERSIÓN 2021'!$AB$5080</f>
        <v>145142282</v>
      </c>
      <c r="BC88" s="44"/>
      <c r="BD88" s="44"/>
      <c r="BE88" s="44"/>
      <c r="BF88" s="110">
        <f t="shared" si="57"/>
        <v>0.12549875342842653</v>
      </c>
      <c r="BG88" s="44">
        <f t="shared" si="64"/>
        <v>29941941</v>
      </c>
      <c r="BH88" s="44">
        <f t="shared" si="65"/>
        <v>0</v>
      </c>
      <c r="BI88" s="44">
        <f t="shared" si="65"/>
        <v>0</v>
      </c>
      <c r="BJ88" s="44">
        <f t="shared" si="65"/>
        <v>0</v>
      </c>
      <c r="BK88" s="44">
        <f t="shared" si="65"/>
        <v>0</v>
      </c>
      <c r="BL88" s="44">
        <f t="shared" si="65"/>
        <v>0</v>
      </c>
      <c r="BM88" s="44">
        <f t="shared" si="65"/>
        <v>0</v>
      </c>
      <c r="BN88" s="44">
        <f t="shared" si="65"/>
        <v>0</v>
      </c>
      <c r="BO88" s="44">
        <f t="shared" si="65"/>
        <v>0</v>
      </c>
      <c r="BP88" s="44">
        <f t="shared" si="65"/>
        <v>0</v>
      </c>
      <c r="BQ88" s="44">
        <f t="shared" si="65"/>
        <v>0</v>
      </c>
      <c r="BR88" s="44">
        <f t="shared" si="65"/>
        <v>0</v>
      </c>
      <c r="BS88" s="44">
        <f t="shared" si="65"/>
        <v>0</v>
      </c>
      <c r="BT88" s="44">
        <f t="shared" si="65"/>
        <v>0</v>
      </c>
      <c r="BU88" s="44">
        <f t="shared" si="65"/>
        <v>0</v>
      </c>
      <c r="BV88" s="44">
        <f t="shared" si="65"/>
        <v>0</v>
      </c>
      <c r="BW88" s="44">
        <f t="shared" si="65"/>
        <v>0</v>
      </c>
      <c r="BX88" s="44">
        <f t="shared" si="66"/>
        <v>0</v>
      </c>
      <c r="BY88" s="44">
        <f t="shared" si="66"/>
        <v>27642932</v>
      </c>
      <c r="BZ88" s="44">
        <f t="shared" si="66"/>
        <v>0</v>
      </c>
      <c r="CA88" s="44">
        <f t="shared" si="66"/>
        <v>2299009</v>
      </c>
      <c r="CB88" s="44">
        <f t="shared" si="66"/>
        <v>0</v>
      </c>
      <c r="CC88" s="44">
        <f t="shared" si="66"/>
        <v>0</v>
      </c>
      <c r="CD88" s="44">
        <f t="shared" si="66"/>
        <v>0</v>
      </c>
      <c r="CE88" s="46">
        <f t="shared" si="44"/>
        <v>0.34138009996186952</v>
      </c>
      <c r="CF88" s="44">
        <f t="shared" si="70"/>
        <v>81447684</v>
      </c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>
        <f>+'[5]Acuerdo PLAN INVERSIÓN 2021'!$H$5934+'[5]Acuerdo PLAN INVERSIÓN 2021'!$H$5937+'[5]Acuerdo PLAN INVERSIÓN 2021'!$H$5940+'[5]Acuerdo PLAN INVERSIÓN 2021'!$H$5943+'[5]Acuerdo PLAN INVERSIÓN 2021'!$H$5946+'[5]Acuerdo PLAN INVERSIÓN 2021'!$H$5949+'[5]Acuerdo PLAN INVERSIÓN 2021'!$H$5952+'[5]Acuerdo PLAN INVERSIÓN 2021'!$H$5955+'[5]Acuerdo PLAN INVERSIÓN 2021'!$H$5958</f>
        <v>63246051</v>
      </c>
      <c r="CY88" s="44"/>
      <c r="CZ88" s="44">
        <f>+'[5]Acuerdo PLAN INVERSIÓN 2021'!$H$5924-CX88</f>
        <v>18201633</v>
      </c>
      <c r="DA88" s="44"/>
      <c r="DB88" s="44"/>
      <c r="DC88" s="44"/>
      <c r="DD88" s="110">
        <f t="shared" si="56"/>
        <v>0.65861990003813053</v>
      </c>
      <c r="DE88" s="44">
        <f t="shared" si="46"/>
        <v>157135889</v>
      </c>
      <c r="DF88" s="44">
        <f t="shared" si="67"/>
        <v>0</v>
      </c>
      <c r="DG88" s="44">
        <f t="shared" si="67"/>
        <v>0</v>
      </c>
      <c r="DH88" s="44">
        <f t="shared" si="67"/>
        <v>0</v>
      </c>
      <c r="DI88" s="44">
        <f t="shared" si="67"/>
        <v>0</v>
      </c>
      <c r="DJ88" s="44">
        <f t="shared" si="67"/>
        <v>0</v>
      </c>
      <c r="DK88" s="44">
        <f t="shared" si="67"/>
        <v>0</v>
      </c>
      <c r="DL88" s="44">
        <f t="shared" si="67"/>
        <v>0</v>
      </c>
      <c r="DM88" s="44">
        <f t="shared" si="67"/>
        <v>0</v>
      </c>
      <c r="DN88" s="44">
        <f t="shared" si="67"/>
        <v>0</v>
      </c>
      <c r="DO88" s="44">
        <f t="shared" si="67"/>
        <v>0</v>
      </c>
      <c r="DP88" s="44">
        <f t="shared" si="67"/>
        <v>0</v>
      </c>
      <c r="DQ88" s="44">
        <f t="shared" si="67"/>
        <v>0</v>
      </c>
      <c r="DR88" s="44">
        <f t="shared" si="67"/>
        <v>0</v>
      </c>
      <c r="DS88" s="44">
        <f t="shared" si="67"/>
        <v>0</v>
      </c>
      <c r="DT88" s="44">
        <f t="shared" si="67"/>
        <v>0</v>
      </c>
      <c r="DU88" s="44">
        <f t="shared" si="67"/>
        <v>0</v>
      </c>
      <c r="DV88" s="44">
        <f t="shared" si="68"/>
        <v>0</v>
      </c>
      <c r="DW88" s="44">
        <f t="shared" si="68"/>
        <v>27896231</v>
      </c>
      <c r="DX88" s="44">
        <f t="shared" si="68"/>
        <v>0</v>
      </c>
      <c r="DY88" s="44">
        <f t="shared" si="68"/>
        <v>129239658</v>
      </c>
      <c r="DZ88" s="44">
        <f t="shared" si="68"/>
        <v>0</v>
      </c>
      <c r="EA88" s="44">
        <f t="shared" si="68"/>
        <v>0</v>
      </c>
      <c r="EB88" s="44">
        <f t="shared" si="68"/>
        <v>0</v>
      </c>
      <c r="ED88"/>
      <c r="EE88" s="75">
        <f t="shared" si="29"/>
        <v>238583573</v>
      </c>
      <c r="EF88" s="75">
        <f t="shared" si="30"/>
        <v>81447684</v>
      </c>
    </row>
    <row r="89" spans="1:136" ht="28.5" hidden="1" customHeight="1" x14ac:dyDescent="0.25">
      <c r="A89" s="109"/>
      <c r="B89" s="186"/>
      <c r="C89" s="186" t="s">
        <v>265</v>
      </c>
      <c r="D89" s="186" t="s">
        <v>266</v>
      </c>
      <c r="E89" s="186">
        <v>301</v>
      </c>
      <c r="F89" s="187" t="s">
        <v>267</v>
      </c>
      <c r="G89" s="44">
        <f t="shared" si="63"/>
        <v>327243035</v>
      </c>
      <c r="H89" s="45">
        <v>411249000</v>
      </c>
      <c r="I89" s="45">
        <f t="shared" si="69"/>
        <v>84005965</v>
      </c>
      <c r="J89" s="44"/>
      <c r="K89" s="44"/>
      <c r="L89" s="44">
        <v>24243035</v>
      </c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>
        <v>300000000</v>
      </c>
      <c r="AD89" s="44"/>
      <c r="AE89" s="44"/>
      <c r="AF89" s="44">
        <v>3000000</v>
      </c>
      <c r="AG89" s="46">
        <f t="shared" si="55"/>
        <v>0.90423620475222644</v>
      </c>
      <c r="AH89" s="44">
        <f t="shared" si="40"/>
        <v>295905000</v>
      </c>
      <c r="AI89" s="44"/>
      <c r="AJ89" s="44"/>
      <c r="AK89" s="44">
        <f>+'[2]Acuerdo PLAN INVERSIÓN 2021'!$K$3521</f>
        <v>2000000</v>
      </c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>
        <f>+'[2]Acuerdo PLAN INVERSIÓN 2021'!$AB$3521</f>
        <v>290905000</v>
      </c>
      <c r="BC89" s="44"/>
      <c r="BD89" s="44"/>
      <c r="BE89" s="44">
        <f>+'[6]Acuerdo PLAN INVERSIÓN 2021'!$AF$5143</f>
        <v>3000000</v>
      </c>
      <c r="BF89" s="46">
        <f t="shared" si="57"/>
        <v>9.5763795247773564E-2</v>
      </c>
      <c r="BG89" s="44">
        <f t="shared" si="64"/>
        <v>31338035</v>
      </c>
      <c r="BH89" s="44">
        <f t="shared" si="65"/>
        <v>0</v>
      </c>
      <c r="BI89" s="44">
        <f t="shared" si="65"/>
        <v>0</v>
      </c>
      <c r="BJ89" s="44">
        <f t="shared" si="65"/>
        <v>22243035</v>
      </c>
      <c r="BK89" s="44">
        <f t="shared" si="65"/>
        <v>0</v>
      </c>
      <c r="BL89" s="44">
        <f t="shared" si="65"/>
        <v>0</v>
      </c>
      <c r="BM89" s="44">
        <f t="shared" si="65"/>
        <v>0</v>
      </c>
      <c r="BN89" s="44">
        <f t="shared" si="65"/>
        <v>0</v>
      </c>
      <c r="BO89" s="44">
        <f t="shared" si="65"/>
        <v>0</v>
      </c>
      <c r="BP89" s="44">
        <f t="shared" si="65"/>
        <v>0</v>
      </c>
      <c r="BQ89" s="44">
        <f t="shared" si="65"/>
        <v>0</v>
      </c>
      <c r="BR89" s="44">
        <f t="shared" si="65"/>
        <v>0</v>
      </c>
      <c r="BS89" s="44">
        <f t="shared" si="65"/>
        <v>0</v>
      </c>
      <c r="BT89" s="44">
        <f t="shared" si="65"/>
        <v>0</v>
      </c>
      <c r="BU89" s="44">
        <f t="shared" si="65"/>
        <v>0</v>
      </c>
      <c r="BV89" s="44">
        <f t="shared" si="65"/>
        <v>0</v>
      </c>
      <c r="BW89" s="44">
        <f t="shared" si="65"/>
        <v>0</v>
      </c>
      <c r="BX89" s="44">
        <f t="shared" si="66"/>
        <v>0</v>
      </c>
      <c r="BY89" s="44">
        <f t="shared" si="66"/>
        <v>0</v>
      </c>
      <c r="BZ89" s="44">
        <f t="shared" si="66"/>
        <v>0</v>
      </c>
      <c r="CA89" s="44">
        <f t="shared" si="66"/>
        <v>9095000</v>
      </c>
      <c r="CB89" s="44">
        <f t="shared" si="66"/>
        <v>0</v>
      </c>
      <c r="CC89" s="44">
        <f t="shared" si="66"/>
        <v>0</v>
      </c>
      <c r="CD89" s="44">
        <f t="shared" si="66"/>
        <v>0</v>
      </c>
      <c r="CE89" s="46">
        <f t="shared" si="44"/>
        <v>0.90361994411890234</v>
      </c>
      <c r="CF89" s="44">
        <f t="shared" si="70"/>
        <v>295703333</v>
      </c>
      <c r="CG89" s="44"/>
      <c r="CH89" s="44"/>
      <c r="CI89" s="44">
        <f>+'[2]Acuerdo PLAN INVERSIÓN 2021'!$H$3546</f>
        <v>2000000</v>
      </c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>
        <f>+'[1]Acuerdo PLAN INVERSIÓN 2021'!$H$4281-CI89</f>
        <v>290703333</v>
      </c>
      <c r="DA89" s="44"/>
      <c r="DB89" s="44"/>
      <c r="DC89" s="44">
        <f>+'[5]Acuerdo PLAN INVERSIÓN 2021'!$H$6035</f>
        <v>3000000</v>
      </c>
      <c r="DD89" s="46">
        <f t="shared" si="56"/>
        <v>9.6380055881097659E-2</v>
      </c>
      <c r="DE89" s="44">
        <f t="shared" si="46"/>
        <v>31539702</v>
      </c>
      <c r="DF89" s="44">
        <f t="shared" si="67"/>
        <v>0</v>
      </c>
      <c r="DG89" s="44">
        <f t="shared" si="67"/>
        <v>0</v>
      </c>
      <c r="DH89" s="44">
        <f t="shared" si="67"/>
        <v>22243035</v>
      </c>
      <c r="DI89" s="44">
        <f t="shared" si="67"/>
        <v>0</v>
      </c>
      <c r="DJ89" s="44">
        <f t="shared" si="67"/>
        <v>0</v>
      </c>
      <c r="DK89" s="44">
        <f t="shared" si="67"/>
        <v>0</v>
      </c>
      <c r="DL89" s="44">
        <f t="shared" si="67"/>
        <v>0</v>
      </c>
      <c r="DM89" s="44">
        <f t="shared" si="67"/>
        <v>0</v>
      </c>
      <c r="DN89" s="44">
        <f t="shared" si="67"/>
        <v>0</v>
      </c>
      <c r="DO89" s="44">
        <f t="shared" si="67"/>
        <v>0</v>
      </c>
      <c r="DP89" s="44">
        <f t="shared" si="67"/>
        <v>0</v>
      </c>
      <c r="DQ89" s="44">
        <f t="shared" si="67"/>
        <v>0</v>
      </c>
      <c r="DR89" s="44">
        <f t="shared" si="67"/>
        <v>0</v>
      </c>
      <c r="DS89" s="44">
        <f t="shared" si="67"/>
        <v>0</v>
      </c>
      <c r="DT89" s="44">
        <f t="shared" si="67"/>
        <v>0</v>
      </c>
      <c r="DU89" s="44">
        <f t="shared" si="67"/>
        <v>0</v>
      </c>
      <c r="DV89" s="44">
        <f t="shared" si="68"/>
        <v>0</v>
      </c>
      <c r="DW89" s="44">
        <f t="shared" si="68"/>
        <v>0</v>
      </c>
      <c r="DX89" s="44">
        <f t="shared" si="68"/>
        <v>0</v>
      </c>
      <c r="DY89" s="44">
        <f t="shared" si="68"/>
        <v>9296667</v>
      </c>
      <c r="DZ89" s="44">
        <f t="shared" si="68"/>
        <v>0</v>
      </c>
      <c r="EA89" s="44">
        <f t="shared" si="68"/>
        <v>0</v>
      </c>
      <c r="EB89" s="44">
        <f t="shared" si="68"/>
        <v>0</v>
      </c>
      <c r="ED89" s="201" t="s">
        <v>388</v>
      </c>
      <c r="EE89" s="75">
        <f t="shared" ref="EE89:EE97" si="71">+G89</f>
        <v>327243035</v>
      </c>
      <c r="EF89" s="75">
        <f t="shared" ref="EF89:EF129" si="72">+CF89</f>
        <v>295703333</v>
      </c>
    </row>
    <row r="90" spans="1:136" ht="55.5" hidden="1" customHeight="1" x14ac:dyDescent="0.25">
      <c r="A90" s="109"/>
      <c r="B90" s="186" t="s">
        <v>268</v>
      </c>
      <c r="C90" s="186" t="s">
        <v>269</v>
      </c>
      <c r="D90" s="186" t="s">
        <v>270</v>
      </c>
      <c r="E90" s="186">
        <v>301</v>
      </c>
      <c r="F90" s="187" t="s">
        <v>271</v>
      </c>
      <c r="G90" s="44">
        <f t="shared" si="63"/>
        <v>135362850</v>
      </c>
      <c r="H90" s="45">
        <v>70000000</v>
      </c>
      <c r="I90" s="45">
        <f t="shared" si="69"/>
        <v>-65362850</v>
      </c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>
        <v>40000000</v>
      </c>
      <c r="AA90" s="44">
        <f>40000000</f>
        <v>40000000</v>
      </c>
      <c r="AB90" s="44"/>
      <c r="AC90" s="44"/>
      <c r="AD90" s="44"/>
      <c r="AE90" s="44"/>
      <c r="AF90" s="44">
        <f>34083538+3500000-5000000+1500000+6279312+5000000+10000000</f>
        <v>55362850</v>
      </c>
      <c r="AG90" s="46">
        <f t="shared" si="55"/>
        <v>0.82934756471217919</v>
      </c>
      <c r="AH90" s="44">
        <f t="shared" si="40"/>
        <v>112262850</v>
      </c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>
        <f>+'[5]Acuerdo PLAN INVERSIÓN 2021'!$AA$6043</f>
        <v>38400000</v>
      </c>
      <c r="AZ90" s="44">
        <f>+'[1]Acuerdo PLAN INVERSIÓN 2021'!$X$4331</f>
        <v>18500000</v>
      </c>
      <c r="BA90" s="44"/>
      <c r="BB90" s="44"/>
      <c r="BC90" s="44"/>
      <c r="BD90" s="44"/>
      <c r="BE90" s="44">
        <f>+'[5]Acuerdo PLAN INVERSIÓN 2021'!$AF$6043</f>
        <v>55362850</v>
      </c>
      <c r="BF90" s="46">
        <f t="shared" si="57"/>
        <v>0.17065243528782081</v>
      </c>
      <c r="BG90" s="44">
        <f t="shared" si="64"/>
        <v>23100000</v>
      </c>
      <c r="BH90" s="44">
        <f t="shared" si="65"/>
        <v>0</v>
      </c>
      <c r="BI90" s="44">
        <f t="shared" si="65"/>
        <v>0</v>
      </c>
      <c r="BJ90" s="44">
        <f t="shared" si="65"/>
        <v>0</v>
      </c>
      <c r="BK90" s="44">
        <f t="shared" si="65"/>
        <v>0</v>
      </c>
      <c r="BL90" s="44">
        <f t="shared" si="65"/>
        <v>0</v>
      </c>
      <c r="BM90" s="44">
        <f t="shared" si="65"/>
        <v>0</v>
      </c>
      <c r="BN90" s="44">
        <f t="shared" si="65"/>
        <v>0</v>
      </c>
      <c r="BO90" s="44">
        <f t="shared" si="65"/>
        <v>0</v>
      </c>
      <c r="BP90" s="44">
        <f t="shared" si="65"/>
        <v>0</v>
      </c>
      <c r="BQ90" s="44">
        <f t="shared" si="65"/>
        <v>0</v>
      </c>
      <c r="BR90" s="44">
        <f t="shared" si="65"/>
        <v>0</v>
      </c>
      <c r="BS90" s="44">
        <f t="shared" si="65"/>
        <v>0</v>
      </c>
      <c r="BT90" s="44">
        <f t="shared" si="65"/>
        <v>0</v>
      </c>
      <c r="BU90" s="44">
        <f t="shared" si="65"/>
        <v>0</v>
      </c>
      <c r="BV90" s="44">
        <f t="shared" si="65"/>
        <v>0</v>
      </c>
      <c r="BW90" s="44">
        <f t="shared" si="65"/>
        <v>0</v>
      </c>
      <c r="BX90" s="44">
        <f t="shared" si="66"/>
        <v>1600000</v>
      </c>
      <c r="BY90" s="44">
        <f t="shared" si="66"/>
        <v>21500000</v>
      </c>
      <c r="BZ90" s="44">
        <f t="shared" si="66"/>
        <v>0</v>
      </c>
      <c r="CA90" s="44">
        <f t="shared" si="66"/>
        <v>0</v>
      </c>
      <c r="CB90" s="44">
        <f t="shared" si="66"/>
        <v>0</v>
      </c>
      <c r="CC90" s="44">
        <f t="shared" si="66"/>
        <v>0</v>
      </c>
      <c r="CD90" s="44">
        <f t="shared" si="66"/>
        <v>0</v>
      </c>
      <c r="CE90" s="46">
        <f t="shared" si="44"/>
        <v>0.73669464701725773</v>
      </c>
      <c r="CF90" s="44">
        <f t="shared" si="70"/>
        <v>99721087</v>
      </c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>
        <f>+'[5]Acuerdo PLAN INVERSIÓN 2021'!$H$6041-CX90-DC90</f>
        <v>34453333</v>
      </c>
      <c r="CX90" s="44">
        <f>+'[6]Acuerdo PLAN INVERSIÓN 2021'!$H$5221+'[6]Acuerdo PLAN INVERSIÓN 2021'!$H$5224+'[6]Acuerdo PLAN INVERSIÓN 2021'!$H$5230</f>
        <v>18500000</v>
      </c>
      <c r="CY90" s="44"/>
      <c r="CZ90" s="44"/>
      <c r="DA90" s="44"/>
      <c r="DB90" s="44"/>
      <c r="DC90" s="44">
        <f>+'[5]Acuerdo PLAN INVERSIÓN 2021'!$H$6047+'[5]Acuerdo PLAN INVERSIÓN 2021'!$H$6050+'[5]Acuerdo PLAN INVERSIÓN 2021'!$H$6055+'[5]Acuerdo PLAN INVERSIÓN 2021'!$H$6061+'[5]Acuerdo PLAN INVERSIÓN 2021'!$H$6068+'[5]Acuerdo PLAN INVERSIÓN 2021'!$H$6077+'[5]Acuerdo PLAN INVERSIÓN 2021'!$H$6083+'[5]Acuerdo PLAN INVERSIÓN 2021'!$H$6088+'[5]Acuerdo PLAN INVERSIÓN 2021'!$H$6091</f>
        <v>46767754</v>
      </c>
      <c r="DD90" s="46">
        <f t="shared" si="56"/>
        <v>0.26330535298274227</v>
      </c>
      <c r="DE90" s="44">
        <f t="shared" si="46"/>
        <v>35641763</v>
      </c>
      <c r="DF90" s="44">
        <f t="shared" si="67"/>
        <v>0</v>
      </c>
      <c r="DG90" s="44">
        <f t="shared" si="67"/>
        <v>0</v>
      </c>
      <c r="DH90" s="44">
        <f t="shared" si="67"/>
        <v>0</v>
      </c>
      <c r="DI90" s="44">
        <f t="shared" si="67"/>
        <v>0</v>
      </c>
      <c r="DJ90" s="44">
        <f t="shared" si="67"/>
        <v>0</v>
      </c>
      <c r="DK90" s="44">
        <f t="shared" si="67"/>
        <v>0</v>
      </c>
      <c r="DL90" s="44">
        <f t="shared" si="67"/>
        <v>0</v>
      </c>
      <c r="DM90" s="44">
        <f t="shared" si="67"/>
        <v>0</v>
      </c>
      <c r="DN90" s="44">
        <f t="shared" si="67"/>
        <v>0</v>
      </c>
      <c r="DO90" s="44">
        <f t="shared" si="67"/>
        <v>0</v>
      </c>
      <c r="DP90" s="44">
        <f t="shared" si="67"/>
        <v>0</v>
      </c>
      <c r="DQ90" s="44">
        <f t="shared" si="67"/>
        <v>0</v>
      </c>
      <c r="DR90" s="44">
        <f t="shared" si="67"/>
        <v>0</v>
      </c>
      <c r="DS90" s="44">
        <f t="shared" si="67"/>
        <v>0</v>
      </c>
      <c r="DT90" s="44">
        <f t="shared" si="67"/>
        <v>0</v>
      </c>
      <c r="DU90" s="44">
        <f t="shared" si="67"/>
        <v>0</v>
      </c>
      <c r="DV90" s="44">
        <f t="shared" si="68"/>
        <v>5546667</v>
      </c>
      <c r="DW90" s="44">
        <f t="shared" si="68"/>
        <v>21500000</v>
      </c>
      <c r="DX90" s="44">
        <f t="shared" si="68"/>
        <v>0</v>
      </c>
      <c r="DY90" s="44">
        <f t="shared" si="68"/>
        <v>0</v>
      </c>
      <c r="DZ90" s="44">
        <f t="shared" si="68"/>
        <v>0</v>
      </c>
      <c r="EA90" s="44">
        <f t="shared" si="68"/>
        <v>0</v>
      </c>
      <c r="EB90" s="44">
        <f t="shared" si="68"/>
        <v>8595096</v>
      </c>
      <c r="ED90" s="74"/>
      <c r="EE90" s="75">
        <f t="shared" si="71"/>
        <v>135362850</v>
      </c>
      <c r="EF90" s="75">
        <f t="shared" si="72"/>
        <v>99721087</v>
      </c>
    </row>
    <row r="91" spans="1:136" ht="21" hidden="1" customHeight="1" x14ac:dyDescent="0.25">
      <c r="A91" s="109"/>
      <c r="B91" s="186"/>
      <c r="C91" s="186" t="s">
        <v>272</v>
      </c>
      <c r="D91" s="186" t="s">
        <v>273</v>
      </c>
      <c r="E91" s="186">
        <v>301</v>
      </c>
      <c r="F91" s="187" t="s">
        <v>240</v>
      </c>
      <c r="G91" s="44">
        <f t="shared" si="63"/>
        <v>152100000</v>
      </c>
      <c r="H91" s="45">
        <v>96000000</v>
      </c>
      <c r="I91" s="45">
        <f t="shared" si="69"/>
        <v>-56100000</v>
      </c>
      <c r="J91" s="44">
        <f>32100000</f>
        <v>32100000</v>
      </c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>
        <v>60000000</v>
      </c>
      <c r="AA91" s="44">
        <f>60000000</f>
        <v>60000000</v>
      </c>
      <c r="AB91" s="44"/>
      <c r="AC91" s="44"/>
      <c r="AD91" s="44"/>
      <c r="AE91" s="44"/>
      <c r="AF91" s="44"/>
      <c r="AG91" s="46">
        <f t="shared" si="55"/>
        <v>0.87830374753451679</v>
      </c>
      <c r="AH91" s="44">
        <f t="shared" si="40"/>
        <v>133590000</v>
      </c>
      <c r="AI91" s="44">
        <f>+'[1]Acuerdo PLAN INVERSIÓN 2021'!$L$4372</f>
        <v>32100000</v>
      </c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>
        <f>+'[11]Acuerdo PLAN INVERSIÓN 2021'!$AA$1461</f>
        <v>44440000</v>
      </c>
      <c r="AZ91" s="44">
        <f>+'[4]Acuerdo PLAN INVERSIÓN 2021'!$X$2593</f>
        <v>57050000</v>
      </c>
      <c r="BA91" s="44"/>
      <c r="BB91" s="44"/>
      <c r="BC91" s="44"/>
      <c r="BD91" s="44"/>
      <c r="BE91" s="44"/>
      <c r="BF91" s="46">
        <f t="shared" si="57"/>
        <v>0.12169625246548321</v>
      </c>
      <c r="BG91" s="44">
        <f t="shared" si="64"/>
        <v>18510000</v>
      </c>
      <c r="BH91" s="44">
        <f t="shared" si="65"/>
        <v>0</v>
      </c>
      <c r="BI91" s="44">
        <f t="shared" si="65"/>
        <v>0</v>
      </c>
      <c r="BJ91" s="44">
        <f t="shared" si="65"/>
        <v>0</v>
      </c>
      <c r="BK91" s="44">
        <f t="shared" si="65"/>
        <v>0</v>
      </c>
      <c r="BL91" s="44">
        <f t="shared" si="65"/>
        <v>0</v>
      </c>
      <c r="BM91" s="44">
        <f t="shared" si="65"/>
        <v>0</v>
      </c>
      <c r="BN91" s="44">
        <f t="shared" si="65"/>
        <v>0</v>
      </c>
      <c r="BO91" s="44">
        <f t="shared" si="65"/>
        <v>0</v>
      </c>
      <c r="BP91" s="44">
        <f t="shared" si="65"/>
        <v>0</v>
      </c>
      <c r="BQ91" s="44">
        <f t="shared" si="65"/>
        <v>0</v>
      </c>
      <c r="BR91" s="44">
        <f t="shared" si="65"/>
        <v>0</v>
      </c>
      <c r="BS91" s="44">
        <f t="shared" si="65"/>
        <v>0</v>
      </c>
      <c r="BT91" s="44">
        <f t="shared" si="65"/>
        <v>0</v>
      </c>
      <c r="BU91" s="44">
        <f t="shared" si="65"/>
        <v>0</v>
      </c>
      <c r="BV91" s="44">
        <f t="shared" si="65"/>
        <v>0</v>
      </c>
      <c r="BW91" s="44">
        <f t="shared" si="65"/>
        <v>0</v>
      </c>
      <c r="BX91" s="44">
        <f t="shared" si="66"/>
        <v>15560000</v>
      </c>
      <c r="BY91" s="44">
        <f t="shared" si="66"/>
        <v>2950000</v>
      </c>
      <c r="BZ91" s="44">
        <f t="shared" si="66"/>
        <v>0</v>
      </c>
      <c r="CA91" s="44">
        <f t="shared" si="66"/>
        <v>0</v>
      </c>
      <c r="CB91" s="44">
        <f t="shared" si="66"/>
        <v>0</v>
      </c>
      <c r="CC91" s="44">
        <f t="shared" si="66"/>
        <v>0</v>
      </c>
      <c r="CD91" s="44">
        <f t="shared" si="66"/>
        <v>0</v>
      </c>
      <c r="CE91" s="46">
        <f t="shared" si="44"/>
        <v>0.65882282708744244</v>
      </c>
      <c r="CF91" s="44">
        <f t="shared" si="70"/>
        <v>100206952</v>
      </c>
      <c r="CG91" s="44">
        <f>+'[6]Acuerdo PLAN INVERSIÓN 2021'!$H$5279+'[6]Acuerdo PLAN INVERSIÓN 2021'!$H$5282</f>
        <v>31816666</v>
      </c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>
        <f>+'[6]Acuerdo PLAN INVERSIÓN 2021'!$H$5245+'[6]Acuerdo PLAN INVERSIÓN 2021'!$H$5248+'[6]Acuerdo PLAN INVERSIÓN 2021'!$H$5254+'[6]Acuerdo PLAN INVERSIÓN 2021'!$H$5264</f>
        <v>39246663</v>
      </c>
      <c r="CX91" s="44">
        <f>+'[6]Acuerdo PLAN INVERSIÓN 2021'!$H$5268+'[6]Acuerdo PLAN INVERSIÓN 2021'!$H$5271</f>
        <v>29143623</v>
      </c>
      <c r="CY91" s="44"/>
      <c r="CZ91" s="44"/>
      <c r="DA91" s="44"/>
      <c r="DB91" s="44"/>
      <c r="DC91" s="44"/>
      <c r="DD91" s="46">
        <f t="shared" si="56"/>
        <v>0.34117717291255756</v>
      </c>
      <c r="DE91" s="44">
        <f t="shared" si="46"/>
        <v>51893048</v>
      </c>
      <c r="DF91" s="44">
        <f t="shared" si="67"/>
        <v>283334</v>
      </c>
      <c r="DG91" s="44">
        <f t="shared" si="67"/>
        <v>0</v>
      </c>
      <c r="DH91" s="44">
        <f t="shared" si="67"/>
        <v>0</v>
      </c>
      <c r="DI91" s="44">
        <f t="shared" si="67"/>
        <v>0</v>
      </c>
      <c r="DJ91" s="44">
        <f t="shared" si="67"/>
        <v>0</v>
      </c>
      <c r="DK91" s="44">
        <f t="shared" si="67"/>
        <v>0</v>
      </c>
      <c r="DL91" s="44">
        <f t="shared" si="67"/>
        <v>0</v>
      </c>
      <c r="DM91" s="44">
        <f t="shared" si="67"/>
        <v>0</v>
      </c>
      <c r="DN91" s="44">
        <f t="shared" si="67"/>
        <v>0</v>
      </c>
      <c r="DO91" s="44">
        <f t="shared" si="67"/>
        <v>0</v>
      </c>
      <c r="DP91" s="44">
        <f t="shared" si="67"/>
        <v>0</v>
      </c>
      <c r="DQ91" s="44">
        <f t="shared" si="67"/>
        <v>0</v>
      </c>
      <c r="DR91" s="44">
        <f t="shared" si="67"/>
        <v>0</v>
      </c>
      <c r="DS91" s="44">
        <f t="shared" si="67"/>
        <v>0</v>
      </c>
      <c r="DT91" s="44">
        <f t="shared" si="67"/>
        <v>0</v>
      </c>
      <c r="DU91" s="44">
        <f t="shared" si="67"/>
        <v>0</v>
      </c>
      <c r="DV91" s="44">
        <f t="shared" si="68"/>
        <v>20753337</v>
      </c>
      <c r="DW91" s="44">
        <f t="shared" si="68"/>
        <v>30856377</v>
      </c>
      <c r="DX91" s="44">
        <f t="shared" si="68"/>
        <v>0</v>
      </c>
      <c r="DY91" s="44">
        <f t="shared" si="68"/>
        <v>0</v>
      </c>
      <c r="DZ91" s="44">
        <f t="shared" si="68"/>
        <v>0</v>
      </c>
      <c r="EA91" s="44">
        <f t="shared" si="68"/>
        <v>0</v>
      </c>
      <c r="EB91" s="44">
        <f t="shared" si="68"/>
        <v>0</v>
      </c>
      <c r="ED91" s="74"/>
      <c r="EE91" s="75">
        <f t="shared" si="71"/>
        <v>152100000</v>
      </c>
      <c r="EF91" s="75">
        <f t="shared" si="72"/>
        <v>100206952</v>
      </c>
    </row>
    <row r="92" spans="1:136" ht="19.149999999999999" hidden="1" customHeight="1" x14ac:dyDescent="0.25">
      <c r="A92" s="109"/>
      <c r="B92" s="186"/>
      <c r="C92" s="186" t="s">
        <v>274</v>
      </c>
      <c r="D92" s="186" t="s">
        <v>275</v>
      </c>
      <c r="E92" s="186">
        <v>301</v>
      </c>
      <c r="F92" s="187" t="s">
        <v>240</v>
      </c>
      <c r="G92" s="44">
        <f t="shared" si="63"/>
        <v>40000000</v>
      </c>
      <c r="H92" s="45">
        <v>20000000</v>
      </c>
      <c r="I92" s="45">
        <f t="shared" si="69"/>
        <v>-20000000</v>
      </c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>
        <v>10000000</v>
      </c>
      <c r="AA92" s="44">
        <f>30000000</f>
        <v>30000000</v>
      </c>
      <c r="AB92" s="44"/>
      <c r="AC92" s="44"/>
      <c r="AD92" s="44"/>
      <c r="AE92" s="44"/>
      <c r="AF92" s="44"/>
      <c r="AG92" s="46">
        <f t="shared" si="55"/>
        <v>1.0125E-2</v>
      </c>
      <c r="AH92" s="44">
        <f t="shared" si="40"/>
        <v>405000</v>
      </c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>
        <f>+'[6]Acuerdo PLAN INVERSIÓN 2021'!$AA$5290</f>
        <v>405000</v>
      </c>
      <c r="AZ92" s="44"/>
      <c r="BA92" s="44"/>
      <c r="BB92" s="44"/>
      <c r="BC92" s="44"/>
      <c r="BD92" s="44"/>
      <c r="BE92" s="44"/>
      <c r="BF92" s="46">
        <f t="shared" si="57"/>
        <v>0.98987499999999995</v>
      </c>
      <c r="BG92" s="44">
        <f t="shared" si="64"/>
        <v>39595000</v>
      </c>
      <c r="BH92" s="44">
        <f t="shared" si="65"/>
        <v>0</v>
      </c>
      <c r="BI92" s="44">
        <f t="shared" si="65"/>
        <v>0</v>
      </c>
      <c r="BJ92" s="44">
        <f t="shared" si="65"/>
        <v>0</v>
      </c>
      <c r="BK92" s="44">
        <f t="shared" si="65"/>
        <v>0</v>
      </c>
      <c r="BL92" s="44">
        <f t="shared" si="65"/>
        <v>0</v>
      </c>
      <c r="BM92" s="44">
        <f t="shared" si="65"/>
        <v>0</v>
      </c>
      <c r="BN92" s="44">
        <f t="shared" si="65"/>
        <v>0</v>
      </c>
      <c r="BO92" s="44">
        <f t="shared" si="65"/>
        <v>0</v>
      </c>
      <c r="BP92" s="44">
        <f t="shared" si="65"/>
        <v>0</v>
      </c>
      <c r="BQ92" s="44">
        <f t="shared" si="65"/>
        <v>0</v>
      </c>
      <c r="BR92" s="44">
        <f t="shared" si="65"/>
        <v>0</v>
      </c>
      <c r="BS92" s="44">
        <f t="shared" si="65"/>
        <v>0</v>
      </c>
      <c r="BT92" s="44">
        <f t="shared" si="65"/>
        <v>0</v>
      </c>
      <c r="BU92" s="44">
        <f t="shared" si="65"/>
        <v>0</v>
      </c>
      <c r="BV92" s="44">
        <f t="shared" si="65"/>
        <v>0</v>
      </c>
      <c r="BW92" s="44">
        <f t="shared" si="65"/>
        <v>0</v>
      </c>
      <c r="BX92" s="44">
        <f t="shared" si="66"/>
        <v>9595000</v>
      </c>
      <c r="BY92" s="44">
        <f t="shared" si="66"/>
        <v>30000000</v>
      </c>
      <c r="BZ92" s="44">
        <f t="shared" si="66"/>
        <v>0</v>
      </c>
      <c r="CA92" s="44">
        <f t="shared" si="66"/>
        <v>0</v>
      </c>
      <c r="CB92" s="44">
        <f t="shared" si="66"/>
        <v>0</v>
      </c>
      <c r="CC92" s="44">
        <f t="shared" si="66"/>
        <v>0</v>
      </c>
      <c r="CD92" s="44">
        <f t="shared" si="66"/>
        <v>0</v>
      </c>
      <c r="CE92" s="46">
        <f t="shared" si="44"/>
        <v>0</v>
      </c>
      <c r="CF92" s="44">
        <f t="shared" si="70"/>
        <v>0</v>
      </c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6">
        <f t="shared" si="56"/>
        <v>1</v>
      </c>
      <c r="DE92" s="44">
        <f t="shared" si="46"/>
        <v>40000000</v>
      </c>
      <c r="DF92" s="44">
        <f t="shared" si="67"/>
        <v>0</v>
      </c>
      <c r="DG92" s="44">
        <f t="shared" si="67"/>
        <v>0</v>
      </c>
      <c r="DH92" s="44">
        <f t="shared" si="67"/>
        <v>0</v>
      </c>
      <c r="DI92" s="44">
        <f t="shared" si="67"/>
        <v>0</v>
      </c>
      <c r="DJ92" s="44">
        <f t="shared" si="67"/>
        <v>0</v>
      </c>
      <c r="DK92" s="44">
        <f t="shared" si="67"/>
        <v>0</v>
      </c>
      <c r="DL92" s="44">
        <f t="shared" si="67"/>
        <v>0</v>
      </c>
      <c r="DM92" s="44">
        <f t="shared" si="67"/>
        <v>0</v>
      </c>
      <c r="DN92" s="44">
        <f t="shared" si="67"/>
        <v>0</v>
      </c>
      <c r="DO92" s="44">
        <f t="shared" si="67"/>
        <v>0</v>
      </c>
      <c r="DP92" s="44">
        <f t="shared" si="67"/>
        <v>0</v>
      </c>
      <c r="DQ92" s="44">
        <f t="shared" si="67"/>
        <v>0</v>
      </c>
      <c r="DR92" s="44">
        <f t="shared" si="67"/>
        <v>0</v>
      </c>
      <c r="DS92" s="44">
        <f t="shared" si="67"/>
        <v>0</v>
      </c>
      <c r="DT92" s="44">
        <f t="shared" si="67"/>
        <v>0</v>
      </c>
      <c r="DU92" s="44">
        <f t="shared" si="67"/>
        <v>0</v>
      </c>
      <c r="DV92" s="44">
        <f t="shared" si="68"/>
        <v>10000000</v>
      </c>
      <c r="DW92" s="44">
        <f t="shared" si="68"/>
        <v>30000000</v>
      </c>
      <c r="DX92" s="44">
        <f t="shared" si="68"/>
        <v>0</v>
      </c>
      <c r="DY92" s="44">
        <f t="shared" si="68"/>
        <v>0</v>
      </c>
      <c r="DZ92" s="44">
        <f t="shared" si="68"/>
        <v>0</v>
      </c>
      <c r="EA92" s="44">
        <f t="shared" si="68"/>
        <v>0</v>
      </c>
      <c r="EB92" s="44">
        <f t="shared" si="68"/>
        <v>0</v>
      </c>
      <c r="ED92" s="74"/>
      <c r="EE92" s="75">
        <f t="shared" si="71"/>
        <v>40000000</v>
      </c>
      <c r="EF92" s="75">
        <f t="shared" si="72"/>
        <v>0</v>
      </c>
    </row>
    <row r="93" spans="1:136" ht="22.15" hidden="1" customHeight="1" x14ac:dyDescent="0.25">
      <c r="A93" s="109"/>
      <c r="B93" s="186" t="s">
        <v>276</v>
      </c>
      <c r="C93" s="186" t="s">
        <v>277</v>
      </c>
      <c r="D93" s="186" t="s">
        <v>278</v>
      </c>
      <c r="E93" s="186">
        <v>301</v>
      </c>
      <c r="F93" s="187" t="s">
        <v>240</v>
      </c>
      <c r="G93" s="44">
        <f t="shared" si="63"/>
        <v>96900000</v>
      </c>
      <c r="H93" s="45">
        <v>65000000</v>
      </c>
      <c r="I93" s="45">
        <f t="shared" si="69"/>
        <v>-31900000</v>
      </c>
      <c r="J93" s="44">
        <f>31500000+15400000</f>
        <v>46900000</v>
      </c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>
        <v>40000000</v>
      </c>
      <c r="AA93" s="44">
        <f>10000000</f>
        <v>10000000</v>
      </c>
      <c r="AB93" s="44"/>
      <c r="AC93" s="44"/>
      <c r="AD93" s="44"/>
      <c r="AE93" s="44"/>
      <c r="AF93" s="44"/>
      <c r="AG93" s="46">
        <f t="shared" si="55"/>
        <v>0.98046095975232195</v>
      </c>
      <c r="AH93" s="44">
        <f t="shared" si="40"/>
        <v>95006667</v>
      </c>
      <c r="AI93" s="44">
        <f>+'[1]Acuerdo PLAN INVERSIÓN 2021'!$L$4423</f>
        <v>45006667</v>
      </c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>
        <f>+'[4]Acuerdo PLAN INVERSIÓN 2021'!$AA$2629</f>
        <v>40000000</v>
      </c>
      <c r="AZ93" s="44">
        <f>+'[4]Acuerdo PLAN INVERSIÓN 2021'!$X$2629</f>
        <v>10000000</v>
      </c>
      <c r="BA93" s="44"/>
      <c r="BB93" s="44"/>
      <c r="BC93" s="44"/>
      <c r="BD93" s="44"/>
      <c r="BE93" s="44"/>
      <c r="BF93" s="46">
        <f t="shared" si="57"/>
        <v>1.9539040247678052E-2</v>
      </c>
      <c r="BG93" s="44">
        <f t="shared" si="64"/>
        <v>1893333</v>
      </c>
      <c r="BH93" s="44">
        <f t="shared" si="65"/>
        <v>1893333</v>
      </c>
      <c r="BI93" s="44">
        <f t="shared" si="65"/>
        <v>0</v>
      </c>
      <c r="BJ93" s="44">
        <f t="shared" si="65"/>
        <v>0</v>
      </c>
      <c r="BK93" s="44">
        <f t="shared" si="65"/>
        <v>0</v>
      </c>
      <c r="BL93" s="44">
        <f t="shared" si="65"/>
        <v>0</v>
      </c>
      <c r="BM93" s="44">
        <f t="shared" si="65"/>
        <v>0</v>
      </c>
      <c r="BN93" s="44">
        <f t="shared" si="65"/>
        <v>0</v>
      </c>
      <c r="BO93" s="44">
        <f t="shared" si="65"/>
        <v>0</v>
      </c>
      <c r="BP93" s="44">
        <f t="shared" si="65"/>
        <v>0</v>
      </c>
      <c r="BQ93" s="44">
        <f t="shared" si="65"/>
        <v>0</v>
      </c>
      <c r="BR93" s="44">
        <f t="shared" si="65"/>
        <v>0</v>
      </c>
      <c r="BS93" s="44">
        <f t="shared" si="65"/>
        <v>0</v>
      </c>
      <c r="BT93" s="44">
        <f t="shared" si="65"/>
        <v>0</v>
      </c>
      <c r="BU93" s="44">
        <f t="shared" si="65"/>
        <v>0</v>
      </c>
      <c r="BV93" s="44">
        <f t="shared" si="65"/>
        <v>0</v>
      </c>
      <c r="BW93" s="44">
        <f>+Y93-AX93</f>
        <v>0</v>
      </c>
      <c r="BX93" s="44">
        <f t="shared" si="66"/>
        <v>0</v>
      </c>
      <c r="BY93" s="44">
        <f t="shared" si="66"/>
        <v>0</v>
      </c>
      <c r="BZ93" s="44">
        <f t="shared" si="66"/>
        <v>0</v>
      </c>
      <c r="CA93" s="44">
        <f t="shared" si="66"/>
        <v>0</v>
      </c>
      <c r="CB93" s="44">
        <f t="shared" si="66"/>
        <v>0</v>
      </c>
      <c r="CC93" s="44">
        <f t="shared" si="66"/>
        <v>0</v>
      </c>
      <c r="CD93" s="44">
        <f t="shared" si="66"/>
        <v>0</v>
      </c>
      <c r="CE93" s="46">
        <f t="shared" si="44"/>
        <v>0.77874095975232194</v>
      </c>
      <c r="CF93" s="44">
        <f t="shared" si="70"/>
        <v>75459999</v>
      </c>
      <c r="CG93" s="44">
        <f>+'[1]Acuerdo PLAN INVERSIÓN 2021'!$H$4436+'[1]Acuerdo PLAN INVERSIÓN 2021'!$H$4443+'[1]Acuerdo PLAN INVERSIÓN 2021'!$H$4447</f>
        <v>29959999</v>
      </c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>
        <f>+'[1]Acuerdo PLAN INVERSIÓN 2021'!$H$4424+'[1]Acuerdo PLAN INVERSIÓN 2021'!$H$4428</f>
        <v>35500000</v>
      </c>
      <c r="CX93" s="44">
        <f>+'[1]Acuerdo PLAN INVERSIÓN 2021'!$H$4432</f>
        <v>10000000</v>
      </c>
      <c r="CY93" s="44"/>
      <c r="CZ93" s="44"/>
      <c r="DA93" s="44"/>
      <c r="DB93" s="44"/>
      <c r="DC93" s="44"/>
      <c r="DD93" s="46">
        <f t="shared" si="56"/>
        <v>0.22125904024767806</v>
      </c>
      <c r="DE93" s="44">
        <f t="shared" si="46"/>
        <v>21440001</v>
      </c>
      <c r="DF93" s="44">
        <f t="shared" si="67"/>
        <v>16940001</v>
      </c>
      <c r="DG93" s="44">
        <f t="shared" si="67"/>
        <v>0</v>
      </c>
      <c r="DH93" s="44">
        <f t="shared" si="67"/>
        <v>0</v>
      </c>
      <c r="DI93" s="44">
        <f t="shared" si="67"/>
        <v>0</v>
      </c>
      <c r="DJ93" s="44">
        <f t="shared" si="67"/>
        <v>0</v>
      </c>
      <c r="DK93" s="44">
        <f t="shared" si="67"/>
        <v>0</v>
      </c>
      <c r="DL93" s="44">
        <f t="shared" si="67"/>
        <v>0</v>
      </c>
      <c r="DM93" s="44">
        <f t="shared" si="67"/>
        <v>0</v>
      </c>
      <c r="DN93" s="44">
        <f t="shared" si="67"/>
        <v>0</v>
      </c>
      <c r="DO93" s="44">
        <f t="shared" si="67"/>
        <v>0</v>
      </c>
      <c r="DP93" s="44">
        <f t="shared" si="67"/>
        <v>0</v>
      </c>
      <c r="DQ93" s="44">
        <f t="shared" si="67"/>
        <v>0</v>
      </c>
      <c r="DR93" s="44">
        <f t="shared" si="67"/>
        <v>0</v>
      </c>
      <c r="DS93" s="44">
        <f t="shared" si="67"/>
        <v>0</v>
      </c>
      <c r="DT93" s="44">
        <f t="shared" si="67"/>
        <v>0</v>
      </c>
      <c r="DU93" s="44">
        <f>+Y93-CV93</f>
        <v>0</v>
      </c>
      <c r="DV93" s="44">
        <f t="shared" si="68"/>
        <v>4500000</v>
      </c>
      <c r="DW93" s="44">
        <f t="shared" si="68"/>
        <v>0</v>
      </c>
      <c r="DX93" s="44">
        <f t="shared" si="68"/>
        <v>0</v>
      </c>
      <c r="DY93" s="44">
        <f t="shared" si="68"/>
        <v>0</v>
      </c>
      <c r="DZ93" s="44">
        <f t="shared" si="68"/>
        <v>0</v>
      </c>
      <c r="EA93" s="44">
        <f t="shared" si="68"/>
        <v>0</v>
      </c>
      <c r="EB93" s="44">
        <f t="shared" si="68"/>
        <v>0</v>
      </c>
      <c r="ED93" s="74"/>
      <c r="EE93" s="75">
        <f t="shared" si="71"/>
        <v>96900000</v>
      </c>
      <c r="EF93" s="75">
        <f t="shared" si="72"/>
        <v>75459999</v>
      </c>
    </row>
    <row r="94" spans="1:136" ht="22.5" hidden="1" customHeight="1" x14ac:dyDescent="0.25">
      <c r="A94" s="109"/>
      <c r="B94" s="186"/>
      <c r="C94" s="186" t="s">
        <v>279</v>
      </c>
      <c r="D94" s="186" t="s">
        <v>280</v>
      </c>
      <c r="E94" s="186">
        <v>301</v>
      </c>
      <c r="F94" s="187" t="s">
        <v>240</v>
      </c>
      <c r="G94" s="44">
        <f t="shared" si="63"/>
        <v>1171418102</v>
      </c>
      <c r="H94" s="45">
        <v>1662500000</v>
      </c>
      <c r="I94" s="45">
        <f t="shared" si="69"/>
        <v>491081898</v>
      </c>
      <c r="J94" s="115">
        <f>804086833-204300000</f>
        <v>599786833</v>
      </c>
      <c r="K94" s="115"/>
      <c r="L94" s="115"/>
      <c r="M94" s="44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87">
        <f>695913167-124281898</f>
        <v>571631269</v>
      </c>
      <c r="AD94" s="115"/>
      <c r="AE94" s="115"/>
      <c r="AF94" s="115"/>
      <c r="AG94" s="46">
        <f t="shared" si="55"/>
        <v>0</v>
      </c>
      <c r="AH94" s="44">
        <f t="shared" si="40"/>
        <v>0</v>
      </c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46">
        <f t="shared" si="57"/>
        <v>1</v>
      </c>
      <c r="BG94" s="44">
        <f t="shared" si="64"/>
        <v>1171418102</v>
      </c>
      <c r="BH94" s="44">
        <f t="shared" ref="BH94:BV96" si="73">+J94-AI94</f>
        <v>599786833</v>
      </c>
      <c r="BI94" s="44">
        <f t="shared" si="73"/>
        <v>0</v>
      </c>
      <c r="BJ94" s="44">
        <f t="shared" si="73"/>
        <v>0</v>
      </c>
      <c r="BK94" s="44">
        <f t="shared" si="73"/>
        <v>0</v>
      </c>
      <c r="BL94" s="44">
        <f t="shared" si="73"/>
        <v>0</v>
      </c>
      <c r="BM94" s="44">
        <f t="shared" si="73"/>
        <v>0</v>
      </c>
      <c r="BN94" s="44">
        <f t="shared" si="73"/>
        <v>0</v>
      </c>
      <c r="BO94" s="44">
        <f t="shared" si="73"/>
        <v>0</v>
      </c>
      <c r="BP94" s="44">
        <f t="shared" si="73"/>
        <v>0</v>
      </c>
      <c r="BQ94" s="44">
        <f t="shared" si="73"/>
        <v>0</v>
      </c>
      <c r="BR94" s="44">
        <f t="shared" si="73"/>
        <v>0</v>
      </c>
      <c r="BS94" s="44">
        <f t="shared" si="73"/>
        <v>0</v>
      </c>
      <c r="BT94" s="44">
        <f t="shared" si="73"/>
        <v>0</v>
      </c>
      <c r="BU94" s="44">
        <f t="shared" si="73"/>
        <v>0</v>
      </c>
      <c r="BV94" s="44">
        <f t="shared" si="73"/>
        <v>0</v>
      </c>
      <c r="BW94" s="44">
        <f>+Y94-AX94</f>
        <v>0</v>
      </c>
      <c r="BX94" s="44">
        <f t="shared" si="66"/>
        <v>0</v>
      </c>
      <c r="BY94" s="44">
        <f t="shared" si="66"/>
        <v>0</v>
      </c>
      <c r="BZ94" s="44">
        <f t="shared" si="66"/>
        <v>0</v>
      </c>
      <c r="CA94" s="44">
        <f t="shared" si="66"/>
        <v>571631269</v>
      </c>
      <c r="CB94" s="44">
        <f t="shared" si="66"/>
        <v>0</v>
      </c>
      <c r="CC94" s="44">
        <f t="shared" si="66"/>
        <v>0</v>
      </c>
      <c r="CD94" s="44">
        <f t="shared" si="66"/>
        <v>0</v>
      </c>
      <c r="CE94" s="46">
        <f t="shared" si="44"/>
        <v>0</v>
      </c>
      <c r="CF94" s="44">
        <f t="shared" si="70"/>
        <v>0</v>
      </c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46">
        <f t="shared" si="56"/>
        <v>1</v>
      </c>
      <c r="DE94" s="44">
        <f t="shared" si="46"/>
        <v>1171418102</v>
      </c>
      <c r="DF94" s="44">
        <f t="shared" ref="DF94:DT96" si="74">+J94-CG94</f>
        <v>599786833</v>
      </c>
      <c r="DG94" s="44">
        <f t="shared" si="74"/>
        <v>0</v>
      </c>
      <c r="DH94" s="44">
        <f t="shared" si="74"/>
        <v>0</v>
      </c>
      <c r="DI94" s="44">
        <f t="shared" si="74"/>
        <v>0</v>
      </c>
      <c r="DJ94" s="44">
        <f t="shared" si="74"/>
        <v>0</v>
      </c>
      <c r="DK94" s="44">
        <f t="shared" si="74"/>
        <v>0</v>
      </c>
      <c r="DL94" s="44">
        <f t="shared" si="74"/>
        <v>0</v>
      </c>
      <c r="DM94" s="44">
        <f t="shared" si="74"/>
        <v>0</v>
      </c>
      <c r="DN94" s="44">
        <f t="shared" si="74"/>
        <v>0</v>
      </c>
      <c r="DO94" s="44">
        <f t="shared" si="74"/>
        <v>0</v>
      </c>
      <c r="DP94" s="44">
        <f t="shared" si="74"/>
        <v>0</v>
      </c>
      <c r="DQ94" s="44">
        <f t="shared" si="74"/>
        <v>0</v>
      </c>
      <c r="DR94" s="44">
        <f t="shared" si="74"/>
        <v>0</v>
      </c>
      <c r="DS94" s="44">
        <f t="shared" si="74"/>
        <v>0</v>
      </c>
      <c r="DT94" s="44">
        <f t="shared" si="74"/>
        <v>0</v>
      </c>
      <c r="DU94" s="44">
        <f>+Y94-CV94</f>
        <v>0</v>
      </c>
      <c r="DV94" s="44">
        <f t="shared" si="68"/>
        <v>0</v>
      </c>
      <c r="DW94" s="44">
        <f t="shared" si="68"/>
        <v>0</v>
      </c>
      <c r="DX94" s="44">
        <f t="shared" si="68"/>
        <v>0</v>
      </c>
      <c r="DY94" s="44">
        <f t="shared" si="68"/>
        <v>571631269</v>
      </c>
      <c r="DZ94" s="44">
        <f t="shared" si="68"/>
        <v>0</v>
      </c>
      <c r="EA94" s="44">
        <f t="shared" si="68"/>
        <v>0</v>
      </c>
      <c r="EB94" s="44">
        <f t="shared" si="68"/>
        <v>0</v>
      </c>
      <c r="EE94" s="75">
        <f t="shared" si="71"/>
        <v>1171418102</v>
      </c>
      <c r="EF94" s="75">
        <f t="shared" si="72"/>
        <v>0</v>
      </c>
    </row>
    <row r="95" spans="1:136" ht="22.5" hidden="1" customHeight="1" x14ac:dyDescent="0.25">
      <c r="A95" s="109"/>
      <c r="B95" s="186"/>
      <c r="C95" s="186" t="s">
        <v>281</v>
      </c>
      <c r="D95" s="186" t="s">
        <v>282</v>
      </c>
      <c r="E95" s="186">
        <v>301</v>
      </c>
      <c r="F95" s="187" t="s">
        <v>240</v>
      </c>
      <c r="G95" s="44">
        <f t="shared" si="63"/>
        <v>1057720570</v>
      </c>
      <c r="H95" s="45">
        <v>780000000</v>
      </c>
      <c r="I95" s="45">
        <f t="shared" si="69"/>
        <v>-277720570</v>
      </c>
      <c r="J95" s="44">
        <f>106000000+90000000+46200000</f>
        <v>242200000</v>
      </c>
      <c r="K95" s="115">
        <v>248478958</v>
      </c>
      <c r="L95" s="115"/>
      <c r="M95" s="44">
        <f>36383010+225000000+144137560</f>
        <v>405520570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151521042</v>
      </c>
      <c r="AA95" s="115"/>
      <c r="AB95" s="115"/>
      <c r="AC95" s="44"/>
      <c r="AD95" s="115"/>
      <c r="AE95" s="115"/>
      <c r="AF95" s="115">
        <f>10000000</f>
        <v>10000000</v>
      </c>
      <c r="AG95" s="46">
        <f t="shared" si="55"/>
        <v>0.73790033694816015</v>
      </c>
      <c r="AH95" s="44">
        <f t="shared" si="40"/>
        <v>780492365</v>
      </c>
      <c r="AI95" s="115">
        <f>+'[1]Acuerdo PLAN INVERSIÓN 2021'!$L$4458</f>
        <v>190253333</v>
      </c>
      <c r="AJ95" s="115">
        <f>+'[4]Acuerdo PLAN INVERSIÓN 2021'!$J$2653</f>
        <v>241138335</v>
      </c>
      <c r="AK95" s="115"/>
      <c r="AL95" s="115">
        <f>+'[6]Acuerdo PLAN INVERSIÓN 2021'!$M$5331</f>
        <v>191740697</v>
      </c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+'[4]Acuerdo PLAN INVERSIÓN 2021'!$AA$2653</f>
        <v>147360000</v>
      </c>
      <c r="AZ95" s="115"/>
      <c r="BA95" s="115"/>
      <c r="BB95" s="115"/>
      <c r="BC95" s="115"/>
      <c r="BD95" s="115"/>
      <c r="BE95" s="115">
        <f>+'[3]Acuerdo PLAN INVERSIÓN 2021'!$AF$3171</f>
        <v>10000000</v>
      </c>
      <c r="BF95" s="46">
        <f t="shared" si="57"/>
        <v>0.26209966305183985</v>
      </c>
      <c r="BG95" s="44">
        <f t="shared" si="64"/>
        <v>277228205</v>
      </c>
      <c r="BH95" s="44">
        <f t="shared" si="73"/>
        <v>51946667</v>
      </c>
      <c r="BI95" s="44">
        <f t="shared" si="73"/>
        <v>7340623</v>
      </c>
      <c r="BJ95" s="44">
        <f t="shared" si="73"/>
        <v>0</v>
      </c>
      <c r="BK95" s="44">
        <f t="shared" si="73"/>
        <v>213779873</v>
      </c>
      <c r="BL95" s="44">
        <f t="shared" si="73"/>
        <v>0</v>
      </c>
      <c r="BM95" s="44">
        <f t="shared" si="73"/>
        <v>0</v>
      </c>
      <c r="BN95" s="44">
        <f t="shared" si="73"/>
        <v>0</v>
      </c>
      <c r="BO95" s="44">
        <f t="shared" si="73"/>
        <v>0</v>
      </c>
      <c r="BP95" s="44">
        <f t="shared" si="73"/>
        <v>0</v>
      </c>
      <c r="BQ95" s="44">
        <f t="shared" si="73"/>
        <v>0</v>
      </c>
      <c r="BR95" s="44">
        <f t="shared" si="73"/>
        <v>0</v>
      </c>
      <c r="BS95" s="44">
        <f t="shared" si="73"/>
        <v>0</v>
      </c>
      <c r="BT95" s="44">
        <f t="shared" si="73"/>
        <v>0</v>
      </c>
      <c r="BU95" s="44">
        <f t="shared" si="73"/>
        <v>0</v>
      </c>
      <c r="BV95" s="44">
        <f t="shared" si="73"/>
        <v>0</v>
      </c>
      <c r="BW95" s="44">
        <f>+Y95-AX95</f>
        <v>0</v>
      </c>
      <c r="BX95" s="44">
        <f t="shared" si="66"/>
        <v>4161042</v>
      </c>
      <c r="BY95" s="44">
        <f t="shared" si="66"/>
        <v>0</v>
      </c>
      <c r="BZ95" s="44">
        <f t="shared" si="66"/>
        <v>0</v>
      </c>
      <c r="CA95" s="44">
        <f t="shared" si="66"/>
        <v>0</v>
      </c>
      <c r="CB95" s="44">
        <f t="shared" si="66"/>
        <v>0</v>
      </c>
      <c r="CC95" s="44">
        <f t="shared" si="66"/>
        <v>0</v>
      </c>
      <c r="CD95" s="44">
        <f t="shared" si="66"/>
        <v>0</v>
      </c>
      <c r="CE95" s="46">
        <f t="shared" si="44"/>
        <v>0.65071710007492811</v>
      </c>
      <c r="CF95" s="44">
        <f t="shared" si="70"/>
        <v>688276862</v>
      </c>
      <c r="CG95" s="115">
        <f>+'[5]Acuerdo PLAN INVERSIÓN 2021'!$H$6320+'[5]Acuerdo PLAN INVERSIÓN 2021'!$H$6350+'[5]Acuerdo PLAN INVERSIÓN 2021'!$H$6385</f>
        <v>137984667</v>
      </c>
      <c r="CH95" s="115">
        <f>+'[5]Acuerdo PLAN INVERSIÓN 2021'!$H$6190-CG95-CJ95-CW95-DC95</f>
        <v>240679663</v>
      </c>
      <c r="CI95" s="115"/>
      <c r="CJ95" s="115">
        <f>+'[5]Acuerdo PLAN INVERSIÓN 2021'!$H$6242+'[5]Acuerdo PLAN INVERSIÓN 2021'!$H$6392+'[5]Acuerdo PLAN INVERSIÓN 2021'!$H$6397+'[5]Acuerdo PLAN INVERSIÓN 2021'!$H$6402+'[5]Acuerdo PLAN INVERSIÓN 2021'!$H$6405+'[5]Acuerdo PLAN INVERSIÓN 2021'!$H$6408+'[5]Acuerdo PLAN INVERSIÓN 2021'!$H$6411+'[5]Acuerdo PLAN INVERSIÓN 2021'!$H$6435+'[5]Acuerdo PLAN INVERSIÓN 2021'!$H$6440+'[5]Acuerdo PLAN INVERSIÓN 2021'!$H$6443+'[5]Acuerdo PLAN INVERSIÓN 2021'!$H$6446</f>
        <v>152485132</v>
      </c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+'[5]Acuerdo PLAN INVERSIÓN 2021'!$H$6219+'[5]Acuerdo PLAN INVERSIÓN 2021'!$H$6228+'[5]Acuerdo PLAN INVERSIÓN 2021'!$H$6271+'[5]Acuerdo PLAN INVERSIÓN 2021'!$H$6345</f>
        <v>147264000</v>
      </c>
      <c r="CX95" s="115"/>
      <c r="CY95" s="115"/>
      <c r="CZ95" s="115"/>
      <c r="DA95" s="115"/>
      <c r="DB95" s="115"/>
      <c r="DC95" s="115">
        <f>+'[5]Acuerdo PLAN INVERSIÓN 2021'!$H$6382</f>
        <v>9863400</v>
      </c>
      <c r="DD95" s="46">
        <f t="shared" si="56"/>
        <v>0.34928289992507189</v>
      </c>
      <c r="DE95" s="44">
        <f t="shared" si="46"/>
        <v>369443708</v>
      </c>
      <c r="DF95" s="44">
        <f t="shared" si="74"/>
        <v>104215333</v>
      </c>
      <c r="DG95" s="44">
        <f t="shared" si="74"/>
        <v>7799295</v>
      </c>
      <c r="DH95" s="44">
        <f t="shared" si="74"/>
        <v>0</v>
      </c>
      <c r="DI95" s="44">
        <f t="shared" si="74"/>
        <v>253035438</v>
      </c>
      <c r="DJ95" s="44">
        <f t="shared" si="74"/>
        <v>0</v>
      </c>
      <c r="DK95" s="44">
        <f t="shared" si="74"/>
        <v>0</v>
      </c>
      <c r="DL95" s="44">
        <f t="shared" si="74"/>
        <v>0</v>
      </c>
      <c r="DM95" s="44">
        <f t="shared" si="74"/>
        <v>0</v>
      </c>
      <c r="DN95" s="44">
        <f t="shared" si="74"/>
        <v>0</v>
      </c>
      <c r="DO95" s="44">
        <f t="shared" si="74"/>
        <v>0</v>
      </c>
      <c r="DP95" s="44">
        <f t="shared" si="74"/>
        <v>0</v>
      </c>
      <c r="DQ95" s="44">
        <f t="shared" si="74"/>
        <v>0</v>
      </c>
      <c r="DR95" s="44">
        <f t="shared" si="74"/>
        <v>0</v>
      </c>
      <c r="DS95" s="44">
        <f t="shared" si="74"/>
        <v>0</v>
      </c>
      <c r="DT95" s="44">
        <f t="shared" si="74"/>
        <v>0</v>
      </c>
      <c r="DU95" s="44">
        <f>+Y95-CV95</f>
        <v>0</v>
      </c>
      <c r="DV95" s="44">
        <f t="shared" si="68"/>
        <v>4257042</v>
      </c>
      <c r="DW95" s="44">
        <f t="shared" si="68"/>
        <v>0</v>
      </c>
      <c r="DX95" s="44">
        <f t="shared" si="68"/>
        <v>0</v>
      </c>
      <c r="DY95" s="44">
        <f t="shared" si="68"/>
        <v>0</v>
      </c>
      <c r="DZ95" s="44">
        <f t="shared" si="68"/>
        <v>0</v>
      </c>
      <c r="EA95" s="44">
        <f t="shared" si="68"/>
        <v>0</v>
      </c>
      <c r="EB95" s="44">
        <f t="shared" si="68"/>
        <v>136600</v>
      </c>
      <c r="EE95" s="75">
        <f t="shared" si="71"/>
        <v>1057720570</v>
      </c>
      <c r="EF95" s="75">
        <f t="shared" si="72"/>
        <v>688276862</v>
      </c>
    </row>
    <row r="96" spans="1:136" ht="25.5" hidden="1" customHeight="1" x14ac:dyDescent="0.25">
      <c r="A96" s="116"/>
      <c r="B96" s="186"/>
      <c r="C96" s="186" t="s">
        <v>283</v>
      </c>
      <c r="D96" s="186" t="s">
        <v>284</v>
      </c>
      <c r="E96" s="186">
        <v>301</v>
      </c>
      <c r="F96" s="187" t="s">
        <v>240</v>
      </c>
      <c r="G96" s="44">
        <f t="shared" si="63"/>
        <v>292233877</v>
      </c>
      <c r="H96" s="45">
        <v>200000000</v>
      </c>
      <c r="I96" s="45">
        <f t="shared" si="69"/>
        <v>-92233877</v>
      </c>
      <c r="J96" s="115">
        <f>92642826+72233333</f>
        <v>164876159</v>
      </c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120000000</v>
      </c>
      <c r="AA96" s="115">
        <v>7357718</v>
      </c>
      <c r="AB96" s="115"/>
      <c r="AC96" s="44"/>
      <c r="AD96" s="115"/>
      <c r="AE96" s="115"/>
      <c r="AF96" s="115"/>
      <c r="AG96" s="46">
        <f t="shared" si="55"/>
        <v>1</v>
      </c>
      <c r="AH96" s="44">
        <f t="shared" si="40"/>
        <v>292233877</v>
      </c>
      <c r="AI96" s="115">
        <f>+'[1]Acuerdo PLAN INVERSIÓN 2021'!$L$4657</f>
        <v>164876159</v>
      </c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+'[4]Acuerdo PLAN INVERSIÓN 2021'!$AA$2726</f>
        <v>120000000</v>
      </c>
      <c r="AZ96" s="115">
        <f>+'[4]Acuerdo PLAN INVERSIÓN 2021'!$X$2726</f>
        <v>7357718</v>
      </c>
      <c r="BA96" s="115"/>
      <c r="BB96" s="115"/>
      <c r="BC96" s="115"/>
      <c r="BD96" s="115"/>
      <c r="BE96" s="115"/>
      <c r="BF96" s="46">
        <f t="shared" si="57"/>
        <v>0</v>
      </c>
      <c r="BG96" s="44">
        <f t="shared" si="64"/>
        <v>0</v>
      </c>
      <c r="BH96" s="44">
        <f t="shared" si="73"/>
        <v>0</v>
      </c>
      <c r="BI96" s="44">
        <f t="shared" si="73"/>
        <v>0</v>
      </c>
      <c r="BJ96" s="44">
        <f t="shared" si="73"/>
        <v>0</v>
      </c>
      <c r="BK96" s="44">
        <f t="shared" si="73"/>
        <v>0</v>
      </c>
      <c r="BL96" s="44">
        <f t="shared" si="73"/>
        <v>0</v>
      </c>
      <c r="BM96" s="44">
        <f t="shared" si="73"/>
        <v>0</v>
      </c>
      <c r="BN96" s="44">
        <f t="shared" si="73"/>
        <v>0</v>
      </c>
      <c r="BO96" s="44">
        <f t="shared" si="73"/>
        <v>0</v>
      </c>
      <c r="BP96" s="44">
        <f t="shared" si="73"/>
        <v>0</v>
      </c>
      <c r="BQ96" s="44">
        <f t="shared" si="73"/>
        <v>0</v>
      </c>
      <c r="BR96" s="44">
        <f t="shared" si="73"/>
        <v>0</v>
      </c>
      <c r="BS96" s="44">
        <f t="shared" si="73"/>
        <v>0</v>
      </c>
      <c r="BT96" s="44">
        <f t="shared" si="73"/>
        <v>0</v>
      </c>
      <c r="BU96" s="44">
        <f t="shared" si="73"/>
        <v>0</v>
      </c>
      <c r="BV96" s="44">
        <f t="shared" si="73"/>
        <v>0</v>
      </c>
      <c r="BW96" s="44">
        <f>+Y96-AX96</f>
        <v>0</v>
      </c>
      <c r="BX96" s="44">
        <f t="shared" si="66"/>
        <v>0</v>
      </c>
      <c r="BY96" s="44">
        <f t="shared" si="66"/>
        <v>0</v>
      </c>
      <c r="BZ96" s="44">
        <f t="shared" si="66"/>
        <v>0</v>
      </c>
      <c r="CA96" s="44">
        <f t="shared" si="66"/>
        <v>0</v>
      </c>
      <c r="CB96" s="44">
        <f t="shared" si="66"/>
        <v>0</v>
      </c>
      <c r="CC96" s="44">
        <f t="shared" si="66"/>
        <v>0</v>
      </c>
      <c r="CD96" s="44">
        <f t="shared" si="66"/>
        <v>0</v>
      </c>
      <c r="CE96" s="46">
        <f t="shared" si="44"/>
        <v>0.76828874976736528</v>
      </c>
      <c r="CF96" s="44">
        <f t="shared" si="70"/>
        <v>224520000</v>
      </c>
      <c r="CG96" s="115">
        <f>+'[5]Acuerdo PLAN INVERSIÓN 2021'!$H$6451-CW96-CX96</f>
        <v>109256667</v>
      </c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+'[5]Acuerdo PLAN INVERSIÓN 2021'!$H$6454+'[5]Acuerdo PLAN INVERSIÓN 2021'!$H$6464+'[5]Acuerdo PLAN INVERSIÓN 2021'!$H$6478</f>
        <v>109443333</v>
      </c>
      <c r="CX96" s="115">
        <f>+'[5]Acuerdo PLAN INVERSIÓN 2021'!$H$6481</f>
        <v>5820000</v>
      </c>
      <c r="CY96" s="115"/>
      <c r="CZ96" s="115"/>
      <c r="DA96" s="115"/>
      <c r="DB96" s="115"/>
      <c r="DC96" s="115"/>
      <c r="DD96" s="46">
        <f t="shared" si="56"/>
        <v>0.23171125023263472</v>
      </c>
      <c r="DE96" s="44">
        <f t="shared" si="46"/>
        <v>67713877</v>
      </c>
      <c r="DF96" s="44">
        <f t="shared" si="74"/>
        <v>55619492</v>
      </c>
      <c r="DG96" s="44">
        <f t="shared" si="74"/>
        <v>0</v>
      </c>
      <c r="DH96" s="44">
        <f t="shared" si="74"/>
        <v>0</v>
      </c>
      <c r="DI96" s="44">
        <f t="shared" si="74"/>
        <v>0</v>
      </c>
      <c r="DJ96" s="44">
        <f t="shared" si="74"/>
        <v>0</v>
      </c>
      <c r="DK96" s="44">
        <f t="shared" si="74"/>
        <v>0</v>
      </c>
      <c r="DL96" s="44">
        <f t="shared" si="74"/>
        <v>0</v>
      </c>
      <c r="DM96" s="44">
        <f t="shared" si="74"/>
        <v>0</v>
      </c>
      <c r="DN96" s="44">
        <f t="shared" si="74"/>
        <v>0</v>
      </c>
      <c r="DO96" s="44">
        <f t="shared" si="74"/>
        <v>0</v>
      </c>
      <c r="DP96" s="44">
        <f t="shared" si="74"/>
        <v>0</v>
      </c>
      <c r="DQ96" s="44">
        <f t="shared" si="74"/>
        <v>0</v>
      </c>
      <c r="DR96" s="44">
        <f t="shared" si="74"/>
        <v>0</v>
      </c>
      <c r="DS96" s="44">
        <f t="shared" si="74"/>
        <v>0</v>
      </c>
      <c r="DT96" s="44">
        <f t="shared" si="74"/>
        <v>0</v>
      </c>
      <c r="DU96" s="44">
        <f>+Y96-CV96</f>
        <v>0</v>
      </c>
      <c r="DV96" s="44">
        <f t="shared" si="68"/>
        <v>10556667</v>
      </c>
      <c r="DW96" s="44">
        <f t="shared" si="68"/>
        <v>1537718</v>
      </c>
      <c r="DX96" s="44">
        <f t="shared" si="68"/>
        <v>0</v>
      </c>
      <c r="DY96" s="44">
        <f t="shared" si="68"/>
        <v>0</v>
      </c>
      <c r="DZ96" s="44">
        <f t="shared" si="68"/>
        <v>0</v>
      </c>
      <c r="EA96" s="44">
        <f t="shared" si="68"/>
        <v>0</v>
      </c>
      <c r="EB96" s="44">
        <f t="shared" si="68"/>
        <v>0</v>
      </c>
      <c r="EE96" s="75">
        <f t="shared" si="71"/>
        <v>292233877</v>
      </c>
      <c r="EF96" s="75">
        <f t="shared" si="72"/>
        <v>224520000</v>
      </c>
    </row>
    <row r="97" spans="1:137" s="74" customFormat="1" ht="21" customHeight="1" thickTop="1" thickBot="1" x14ac:dyDescent="0.3">
      <c r="A97" s="102"/>
      <c r="B97" s="186" t="s">
        <v>285</v>
      </c>
      <c r="C97" s="186"/>
      <c r="D97" s="186"/>
      <c r="E97" s="186"/>
      <c r="F97" s="187"/>
      <c r="G97" s="92">
        <f t="shared" ref="G97:AF97" si="75">SUM(G78:G96)</f>
        <v>4618928674</v>
      </c>
      <c r="H97" s="92">
        <f t="shared" si="75"/>
        <v>4682573500</v>
      </c>
      <c r="I97" s="92">
        <f t="shared" si="75"/>
        <v>63644826</v>
      </c>
      <c r="J97" s="92">
        <f t="shared" si="75"/>
        <v>1124229659</v>
      </c>
      <c r="K97" s="92">
        <f t="shared" si="75"/>
        <v>248478958</v>
      </c>
      <c r="L97" s="92">
        <f t="shared" si="75"/>
        <v>24243035</v>
      </c>
      <c r="M97" s="92">
        <f t="shared" si="75"/>
        <v>405520570</v>
      </c>
      <c r="N97" s="92">
        <f t="shared" si="75"/>
        <v>0</v>
      </c>
      <c r="O97" s="92">
        <f t="shared" si="75"/>
        <v>0</v>
      </c>
      <c r="P97" s="92">
        <f t="shared" si="75"/>
        <v>0</v>
      </c>
      <c r="Q97" s="92">
        <f t="shared" si="75"/>
        <v>0</v>
      </c>
      <c r="R97" s="92">
        <f t="shared" si="75"/>
        <v>0</v>
      </c>
      <c r="S97" s="92">
        <f t="shared" si="75"/>
        <v>0</v>
      </c>
      <c r="T97" s="92">
        <f t="shared" si="75"/>
        <v>0</v>
      </c>
      <c r="U97" s="92">
        <f t="shared" si="75"/>
        <v>0</v>
      </c>
      <c r="V97" s="92">
        <f t="shared" si="75"/>
        <v>0</v>
      </c>
      <c r="W97" s="92">
        <f t="shared" si="75"/>
        <v>0</v>
      </c>
      <c r="X97" s="92">
        <f t="shared" si="75"/>
        <v>0</v>
      </c>
      <c r="Y97" s="92">
        <f t="shared" si="75"/>
        <v>0</v>
      </c>
      <c r="Z97" s="92">
        <f t="shared" si="75"/>
        <v>456521042</v>
      </c>
      <c r="AA97" s="92">
        <f t="shared" si="75"/>
        <v>549500000</v>
      </c>
      <c r="AB97" s="92">
        <f t="shared" si="75"/>
        <v>0</v>
      </c>
      <c r="AC97" s="92">
        <f t="shared" si="75"/>
        <v>1729072560</v>
      </c>
      <c r="AD97" s="92">
        <f t="shared" si="75"/>
        <v>0</v>
      </c>
      <c r="AE97" s="92">
        <f t="shared" si="75"/>
        <v>0</v>
      </c>
      <c r="AF97" s="92">
        <f t="shared" si="75"/>
        <v>81362850</v>
      </c>
      <c r="AG97" s="73">
        <f t="shared" si="55"/>
        <v>0.59613135628168823</v>
      </c>
      <c r="AH97" s="92">
        <f>SUM(AH78:AH96)</f>
        <v>2753488215</v>
      </c>
      <c r="AI97" s="92">
        <f>SUM(AI78:AI96)</f>
        <v>470602826</v>
      </c>
      <c r="AJ97" s="92">
        <f>SUM(AJ78:AJ96)</f>
        <v>241138335</v>
      </c>
      <c r="AK97" s="92">
        <f>SUM(AK78:AK96)</f>
        <v>2000000</v>
      </c>
      <c r="AL97" s="92">
        <f>SUM(AL78:AL96)</f>
        <v>191740697</v>
      </c>
      <c r="AM97" s="92">
        <f t="shared" ref="AM97:BE97" si="76">SUM(AM78:AM96)</f>
        <v>0</v>
      </c>
      <c r="AN97" s="92">
        <f t="shared" si="76"/>
        <v>0</v>
      </c>
      <c r="AO97" s="92">
        <f t="shared" si="76"/>
        <v>0</v>
      </c>
      <c r="AP97" s="92">
        <f t="shared" si="76"/>
        <v>0</v>
      </c>
      <c r="AQ97" s="92">
        <f t="shared" si="76"/>
        <v>0</v>
      </c>
      <c r="AR97" s="92">
        <f t="shared" si="76"/>
        <v>0</v>
      </c>
      <c r="AS97" s="92">
        <f t="shared" si="76"/>
        <v>0</v>
      </c>
      <c r="AT97" s="92">
        <f t="shared" si="76"/>
        <v>0</v>
      </c>
      <c r="AU97" s="92">
        <f t="shared" si="76"/>
        <v>0</v>
      </c>
      <c r="AV97" s="92">
        <f t="shared" si="76"/>
        <v>0</v>
      </c>
      <c r="AW97" s="92">
        <f t="shared" si="76"/>
        <v>0</v>
      </c>
      <c r="AX97" s="92">
        <f t="shared" si="76"/>
        <v>0</v>
      </c>
      <c r="AY97" s="92">
        <f t="shared" si="76"/>
        <v>402845000</v>
      </c>
      <c r="AZ97" s="92">
        <f t="shared" si="76"/>
        <v>313939058</v>
      </c>
      <c r="BA97" s="92">
        <f t="shared" si="76"/>
        <v>0</v>
      </c>
      <c r="BB97" s="92">
        <f t="shared" si="76"/>
        <v>1052859449</v>
      </c>
      <c r="BC97" s="92">
        <f t="shared" si="76"/>
        <v>0</v>
      </c>
      <c r="BD97" s="92">
        <f t="shared" si="76"/>
        <v>0</v>
      </c>
      <c r="BE97" s="92">
        <f t="shared" si="76"/>
        <v>78362850</v>
      </c>
      <c r="BF97" s="71">
        <f t="shared" si="57"/>
        <v>0.40386864371831177</v>
      </c>
      <c r="BG97" s="92">
        <f t="shared" ref="BG97:CD97" si="77">SUM(BG78:BG96)</f>
        <v>1865440459</v>
      </c>
      <c r="BH97" s="92">
        <f t="shared" si="77"/>
        <v>653626833</v>
      </c>
      <c r="BI97" s="92">
        <f t="shared" si="77"/>
        <v>7340623</v>
      </c>
      <c r="BJ97" s="92">
        <f t="shared" si="77"/>
        <v>22243035</v>
      </c>
      <c r="BK97" s="92">
        <f t="shared" si="77"/>
        <v>213779873</v>
      </c>
      <c r="BL97" s="92">
        <f t="shared" si="77"/>
        <v>0</v>
      </c>
      <c r="BM97" s="92">
        <f t="shared" si="77"/>
        <v>0</v>
      </c>
      <c r="BN97" s="92">
        <f t="shared" si="77"/>
        <v>0</v>
      </c>
      <c r="BO97" s="92">
        <f t="shared" si="77"/>
        <v>0</v>
      </c>
      <c r="BP97" s="92">
        <f t="shared" si="77"/>
        <v>0</v>
      </c>
      <c r="BQ97" s="92">
        <f t="shared" si="77"/>
        <v>0</v>
      </c>
      <c r="BR97" s="92">
        <f t="shared" si="77"/>
        <v>0</v>
      </c>
      <c r="BS97" s="92">
        <f t="shared" si="77"/>
        <v>0</v>
      </c>
      <c r="BT97" s="92">
        <f t="shared" si="77"/>
        <v>0</v>
      </c>
      <c r="BU97" s="92">
        <f t="shared" si="77"/>
        <v>0</v>
      </c>
      <c r="BV97" s="92">
        <f t="shared" si="77"/>
        <v>0</v>
      </c>
      <c r="BW97" s="92">
        <f t="shared" si="77"/>
        <v>0</v>
      </c>
      <c r="BX97" s="92">
        <f t="shared" si="77"/>
        <v>53676042</v>
      </c>
      <c r="BY97" s="92">
        <f t="shared" si="77"/>
        <v>235560942</v>
      </c>
      <c r="BZ97" s="92">
        <f t="shared" si="77"/>
        <v>0</v>
      </c>
      <c r="CA97" s="92">
        <f t="shared" si="77"/>
        <v>676213111</v>
      </c>
      <c r="CB97" s="92">
        <f t="shared" si="77"/>
        <v>0</v>
      </c>
      <c r="CC97" s="92">
        <f t="shared" si="77"/>
        <v>0</v>
      </c>
      <c r="CD97" s="92">
        <f t="shared" si="77"/>
        <v>3000000</v>
      </c>
      <c r="CE97" s="71">
        <f t="shared" si="44"/>
        <v>0.46415093743878844</v>
      </c>
      <c r="CF97" s="92">
        <f>SUM(CF78:CF96)</f>
        <v>2143880074</v>
      </c>
      <c r="CG97" s="92">
        <f>SUM(CG78:CG96)</f>
        <v>340401333</v>
      </c>
      <c r="CH97" s="92">
        <f t="shared" ref="CH97:DB97" si="78">SUM(CH78:CH96)</f>
        <v>240679663</v>
      </c>
      <c r="CI97" s="92">
        <f t="shared" si="78"/>
        <v>2000000</v>
      </c>
      <c r="CJ97" s="92">
        <f t="shared" si="78"/>
        <v>152485132</v>
      </c>
      <c r="CK97" s="92">
        <f t="shared" si="78"/>
        <v>0</v>
      </c>
      <c r="CL97" s="92">
        <f t="shared" si="78"/>
        <v>0</v>
      </c>
      <c r="CM97" s="92">
        <f t="shared" si="78"/>
        <v>0</v>
      </c>
      <c r="CN97" s="92">
        <f t="shared" si="78"/>
        <v>0</v>
      </c>
      <c r="CO97" s="92">
        <f t="shared" si="78"/>
        <v>0</v>
      </c>
      <c r="CP97" s="92">
        <f t="shared" si="78"/>
        <v>0</v>
      </c>
      <c r="CQ97" s="92">
        <f t="shared" si="78"/>
        <v>0</v>
      </c>
      <c r="CR97" s="92">
        <f t="shared" si="78"/>
        <v>0</v>
      </c>
      <c r="CS97" s="92">
        <f t="shared" si="78"/>
        <v>0</v>
      </c>
      <c r="CT97" s="92">
        <f t="shared" si="78"/>
        <v>0</v>
      </c>
      <c r="CU97" s="92">
        <f t="shared" si="78"/>
        <v>0</v>
      </c>
      <c r="CV97" s="92">
        <f t="shared" si="78"/>
        <v>0</v>
      </c>
      <c r="CW97" s="92">
        <f>SUM(CW78:CW96)</f>
        <v>372027329</v>
      </c>
      <c r="CX97" s="92">
        <f t="shared" si="78"/>
        <v>139093830</v>
      </c>
      <c r="CY97" s="92">
        <f>SUM(CY78:CY96)</f>
        <v>0</v>
      </c>
      <c r="CZ97" s="92">
        <f t="shared" si="78"/>
        <v>829578631</v>
      </c>
      <c r="DA97" s="92">
        <f t="shared" si="78"/>
        <v>0</v>
      </c>
      <c r="DB97" s="92">
        <f t="shared" si="78"/>
        <v>0</v>
      </c>
      <c r="DC97" s="92">
        <f>SUM(DC78:DC96)</f>
        <v>67614156</v>
      </c>
      <c r="DD97" s="73">
        <f t="shared" si="56"/>
        <v>0.53584906256121156</v>
      </c>
      <c r="DE97" s="92">
        <f t="shared" ref="DE97:EB97" si="79">SUM(DE78:DE96)</f>
        <v>2475048600</v>
      </c>
      <c r="DF97" s="92">
        <f t="shared" si="79"/>
        <v>783828326</v>
      </c>
      <c r="DG97" s="92">
        <f t="shared" si="79"/>
        <v>7799295</v>
      </c>
      <c r="DH97" s="92">
        <f t="shared" si="79"/>
        <v>22243035</v>
      </c>
      <c r="DI97" s="92">
        <f t="shared" si="79"/>
        <v>253035438</v>
      </c>
      <c r="DJ97" s="92">
        <f t="shared" si="79"/>
        <v>0</v>
      </c>
      <c r="DK97" s="92">
        <f t="shared" si="79"/>
        <v>0</v>
      </c>
      <c r="DL97" s="92">
        <f t="shared" si="79"/>
        <v>0</v>
      </c>
      <c r="DM97" s="92">
        <f t="shared" si="79"/>
        <v>0</v>
      </c>
      <c r="DN97" s="92">
        <f t="shared" si="79"/>
        <v>0</v>
      </c>
      <c r="DO97" s="92">
        <f t="shared" si="79"/>
        <v>0</v>
      </c>
      <c r="DP97" s="92">
        <f t="shared" si="79"/>
        <v>0</v>
      </c>
      <c r="DQ97" s="92">
        <f t="shared" si="79"/>
        <v>0</v>
      </c>
      <c r="DR97" s="92">
        <f t="shared" si="79"/>
        <v>0</v>
      </c>
      <c r="DS97" s="92">
        <f t="shared" si="79"/>
        <v>0</v>
      </c>
      <c r="DT97" s="92">
        <f t="shared" si="79"/>
        <v>0</v>
      </c>
      <c r="DU97" s="92">
        <f t="shared" si="79"/>
        <v>0</v>
      </c>
      <c r="DV97" s="92">
        <f t="shared" si="79"/>
        <v>84493713</v>
      </c>
      <c r="DW97" s="92">
        <f t="shared" si="79"/>
        <v>410406170</v>
      </c>
      <c r="DX97" s="92">
        <f t="shared" si="79"/>
        <v>0</v>
      </c>
      <c r="DY97" s="92">
        <f t="shared" si="79"/>
        <v>899493929</v>
      </c>
      <c r="DZ97" s="92">
        <f t="shared" si="79"/>
        <v>0</v>
      </c>
      <c r="EA97" s="92">
        <f t="shared" si="79"/>
        <v>0</v>
      </c>
      <c r="EB97" s="92">
        <f t="shared" si="79"/>
        <v>13748694</v>
      </c>
      <c r="ED97" s="202" t="s">
        <v>389</v>
      </c>
      <c r="EE97" s="75">
        <f t="shared" si="71"/>
        <v>4618928674</v>
      </c>
      <c r="EF97" s="75">
        <f t="shared" si="72"/>
        <v>2143880074</v>
      </c>
      <c r="EG97" s="188">
        <f>+CE97</f>
        <v>0.46415093743878844</v>
      </c>
    </row>
    <row r="98" spans="1:137" ht="20.45" hidden="1" customHeight="1" thickTop="1" x14ac:dyDescent="0.25">
      <c r="A98" s="50"/>
      <c r="B98" s="121" t="s">
        <v>286</v>
      </c>
      <c r="C98" s="83" t="s">
        <v>287</v>
      </c>
      <c r="D98" s="41" t="s">
        <v>288</v>
      </c>
      <c r="E98" s="122">
        <v>111</v>
      </c>
      <c r="F98" s="43" t="s">
        <v>240</v>
      </c>
      <c r="G98" s="44">
        <f t="shared" ref="G98:G128" si="80">SUM(J98:AF98)</f>
        <v>10598461344</v>
      </c>
      <c r="H98" s="45">
        <v>2559000000</v>
      </c>
      <c r="I98" s="45">
        <f>H98-G98</f>
        <v>-8039461344</v>
      </c>
      <c r="J98" s="44">
        <v>434799132</v>
      </c>
      <c r="K98" s="115"/>
      <c r="L98" s="44"/>
      <c r="M98" s="44">
        <f>1072500000+565035267</f>
        <v>1637535267</v>
      </c>
      <c r="N98" s="44">
        <v>6856843769</v>
      </c>
      <c r="O98" s="44"/>
      <c r="P98" s="44"/>
      <c r="Q98" s="44">
        <v>510290626</v>
      </c>
      <c r="R98" s="44">
        <v>223474173</v>
      </c>
      <c r="S98" s="44"/>
      <c r="T98" s="44">
        <v>412659033</v>
      </c>
      <c r="U98" s="44"/>
      <c r="V98" s="44"/>
      <c r="W98" s="44">
        <v>188082849</v>
      </c>
      <c r="X98" s="44">
        <v>290776495</v>
      </c>
      <c r="Y98" s="44"/>
      <c r="Z98" s="44"/>
      <c r="AA98" s="44"/>
      <c r="AB98" s="44"/>
      <c r="AC98" s="44"/>
      <c r="AD98" s="44"/>
      <c r="AE98" s="44"/>
      <c r="AF98" s="44">
        <f>44000000</f>
        <v>44000000</v>
      </c>
      <c r="AG98" s="79">
        <f t="shared" si="55"/>
        <v>0.84538823515852413</v>
      </c>
      <c r="AH98" s="44">
        <f t="shared" si="40"/>
        <v>8959814531</v>
      </c>
      <c r="AI98" s="44">
        <f>+'[7]Acuerdo PLAN INVERSIÓN 2021'!$L$2277</f>
        <v>434799132</v>
      </c>
      <c r="AJ98" s="44"/>
      <c r="AK98" s="44"/>
      <c r="AL98" s="44">
        <f>+'[5]Acuerdo PLAN INVERSIÓN 2021'!$M$6502</f>
        <v>565034867</v>
      </c>
      <c r="AM98" s="44">
        <f>+'[7]Acuerdo PLAN INVERSIÓN 2021'!$N$2277</f>
        <v>6855066956</v>
      </c>
      <c r="AN98" s="44"/>
      <c r="AO98" s="44"/>
      <c r="AP98" s="44">
        <v>510290626</v>
      </c>
      <c r="AQ98" s="44"/>
      <c r="AR98" s="44"/>
      <c r="AS98" s="44">
        <f>+'[5]Acuerdo PLAN INVERSIÓN 2021'!$V$6502</f>
        <v>252195455</v>
      </c>
      <c r="AT98" s="44"/>
      <c r="AU98" s="44"/>
      <c r="AV98" s="44">
        <f>+'[2]Acuerdo PLAN INVERSIÓN 2021'!$R$3870</f>
        <v>51651000</v>
      </c>
      <c r="AW98" s="44">
        <f>+'[2]Acuerdo PLAN INVERSIÓN 2021'!$Q$3870</f>
        <v>290776495</v>
      </c>
      <c r="AX98" s="44"/>
      <c r="AY98" s="44"/>
      <c r="AZ98" s="44"/>
      <c r="BA98" s="44"/>
      <c r="BB98" s="44"/>
      <c r="BC98" s="44"/>
      <c r="BD98" s="44"/>
      <c r="BE98" s="44"/>
      <c r="BF98" s="46">
        <f t="shared" si="57"/>
        <v>0.15461176484147587</v>
      </c>
      <c r="BG98" s="44">
        <f t="shared" si="64"/>
        <v>1638646813</v>
      </c>
      <c r="BH98" s="44">
        <f t="shared" ref="BH98:BW113" si="81">+J98-AI98</f>
        <v>0</v>
      </c>
      <c r="BI98" s="44">
        <f t="shared" si="81"/>
        <v>0</v>
      </c>
      <c r="BJ98" s="44">
        <f t="shared" si="81"/>
        <v>0</v>
      </c>
      <c r="BK98" s="44">
        <f t="shared" si="81"/>
        <v>1072500400</v>
      </c>
      <c r="BL98" s="44">
        <f t="shared" si="81"/>
        <v>1776813</v>
      </c>
      <c r="BM98" s="44">
        <f t="shared" si="81"/>
        <v>0</v>
      </c>
      <c r="BN98" s="44">
        <f t="shared" si="81"/>
        <v>0</v>
      </c>
      <c r="BO98" s="44">
        <f t="shared" si="81"/>
        <v>0</v>
      </c>
      <c r="BP98" s="44">
        <f t="shared" si="81"/>
        <v>223474173</v>
      </c>
      <c r="BQ98" s="44">
        <f t="shared" si="81"/>
        <v>0</v>
      </c>
      <c r="BR98" s="44">
        <f t="shared" si="81"/>
        <v>160463578</v>
      </c>
      <c r="BS98" s="44">
        <f t="shared" si="81"/>
        <v>0</v>
      </c>
      <c r="BT98" s="44">
        <f t="shared" si="81"/>
        <v>0</v>
      </c>
      <c r="BU98" s="44">
        <f t="shared" si="81"/>
        <v>136431849</v>
      </c>
      <c r="BV98" s="44">
        <f t="shared" si="81"/>
        <v>0</v>
      </c>
      <c r="BW98" s="44">
        <f t="shared" si="81"/>
        <v>0</v>
      </c>
      <c r="BX98" s="44">
        <f t="shared" ref="BX98:CD128" si="82">+Z98-AY98</f>
        <v>0</v>
      </c>
      <c r="BY98" s="44">
        <f t="shared" si="82"/>
        <v>0</v>
      </c>
      <c r="BZ98" s="44">
        <f t="shared" si="82"/>
        <v>0</v>
      </c>
      <c r="CA98" s="44">
        <f t="shared" si="82"/>
        <v>0</v>
      </c>
      <c r="CB98" s="44">
        <f t="shared" si="82"/>
        <v>0</v>
      </c>
      <c r="CC98" s="44">
        <f t="shared" si="82"/>
        <v>0</v>
      </c>
      <c r="CD98" s="44">
        <f t="shared" si="82"/>
        <v>44000000</v>
      </c>
      <c r="CE98" s="79">
        <f t="shared" si="44"/>
        <v>0.73993417152383212</v>
      </c>
      <c r="CF98" s="44">
        <f t="shared" si="45"/>
        <v>7842163714</v>
      </c>
      <c r="CG98" s="44">
        <f>+'[7]Acuerdo PLAN INVERSIÓN 2021'!$H$2281</f>
        <v>434799132</v>
      </c>
      <c r="CH98" s="44"/>
      <c r="CI98" s="44"/>
      <c r="CJ98" s="44"/>
      <c r="CK98" s="44">
        <f>+'[7]Acuerdo PLAN INVERSIÓN 2021'!$H$2278</f>
        <v>6855066956</v>
      </c>
      <c r="CL98" s="44"/>
      <c r="CM98" s="44"/>
      <c r="CN98" s="44">
        <v>510290626</v>
      </c>
      <c r="CO98" s="44"/>
      <c r="CP98" s="44"/>
      <c r="CQ98" s="44"/>
      <c r="CR98" s="44"/>
      <c r="CS98" s="44"/>
      <c r="CT98" s="44">
        <f>+'[2]Acuerdo PLAN INVERSIÓN 2021'!$H$3880</f>
        <v>42007000</v>
      </c>
      <c r="CU98" s="44"/>
      <c r="CV98" s="44"/>
      <c r="CW98" s="44"/>
      <c r="CX98" s="44"/>
      <c r="CY98" s="44"/>
      <c r="CZ98" s="44"/>
      <c r="DA98" s="44"/>
      <c r="DB98" s="44"/>
      <c r="DC98" s="44"/>
      <c r="DD98" s="46">
        <f t="shared" si="56"/>
        <v>0.26006582847616788</v>
      </c>
      <c r="DE98" s="44">
        <f t="shared" ref="DE98:DE128" si="83">SUM(DF98:EB98)</f>
        <v>2756297630</v>
      </c>
      <c r="DF98" s="44">
        <f t="shared" ref="DF98:DU113" si="84">+J98-CG98</f>
        <v>0</v>
      </c>
      <c r="DG98" s="44">
        <f t="shared" si="84"/>
        <v>0</v>
      </c>
      <c r="DH98" s="44">
        <f t="shared" si="84"/>
        <v>0</v>
      </c>
      <c r="DI98" s="44">
        <f t="shared" si="84"/>
        <v>1637535267</v>
      </c>
      <c r="DJ98" s="44">
        <f t="shared" si="84"/>
        <v>1776813</v>
      </c>
      <c r="DK98" s="44">
        <f t="shared" si="84"/>
        <v>0</v>
      </c>
      <c r="DL98" s="44">
        <f t="shared" si="84"/>
        <v>0</v>
      </c>
      <c r="DM98" s="44">
        <f t="shared" si="84"/>
        <v>0</v>
      </c>
      <c r="DN98" s="44">
        <f t="shared" si="84"/>
        <v>223474173</v>
      </c>
      <c r="DO98" s="44">
        <f t="shared" si="84"/>
        <v>0</v>
      </c>
      <c r="DP98" s="44">
        <f t="shared" si="84"/>
        <v>412659033</v>
      </c>
      <c r="DQ98" s="44">
        <f t="shared" si="84"/>
        <v>0</v>
      </c>
      <c r="DR98" s="44">
        <f t="shared" si="84"/>
        <v>0</v>
      </c>
      <c r="DS98" s="44">
        <f t="shared" si="84"/>
        <v>146075849</v>
      </c>
      <c r="DT98" s="44">
        <f t="shared" si="84"/>
        <v>290776495</v>
      </c>
      <c r="DU98" s="44">
        <f t="shared" si="84"/>
        <v>0</v>
      </c>
      <c r="DV98" s="44">
        <f t="shared" ref="DV98:EB128" si="85">+Z98-CW98</f>
        <v>0</v>
      </c>
      <c r="DW98" s="44">
        <f t="shared" si="85"/>
        <v>0</v>
      </c>
      <c r="DX98" s="44">
        <f t="shared" si="85"/>
        <v>0</v>
      </c>
      <c r="DY98" s="44">
        <f t="shared" si="85"/>
        <v>0</v>
      </c>
      <c r="DZ98" s="44">
        <f t="shared" si="85"/>
        <v>0</v>
      </c>
      <c r="EA98" s="44">
        <f t="shared" si="85"/>
        <v>0</v>
      </c>
      <c r="EB98" s="44">
        <f t="shared" si="85"/>
        <v>44000000</v>
      </c>
      <c r="EE98" s="75">
        <f t="shared" ref="EE89:EE129" si="86">+G98</f>
        <v>10598461344</v>
      </c>
      <c r="EF98" s="75">
        <f t="shared" si="72"/>
        <v>7842163714</v>
      </c>
    </row>
    <row r="99" spans="1:137" s="125" customFormat="1" ht="19.899999999999999" hidden="1" customHeight="1" x14ac:dyDescent="0.25">
      <c r="A99" s="50"/>
      <c r="B99" s="121"/>
      <c r="C99" s="83" t="s">
        <v>289</v>
      </c>
      <c r="D99" s="41" t="s">
        <v>290</v>
      </c>
      <c r="E99" s="123">
        <v>111</v>
      </c>
      <c r="F99" s="43" t="s">
        <v>240</v>
      </c>
      <c r="G99" s="44">
        <f t="shared" si="80"/>
        <v>426445085</v>
      </c>
      <c r="H99" s="45">
        <v>500136000</v>
      </c>
      <c r="I99" s="45">
        <f t="shared" ref="I99:I128" si="87">H99-G99</f>
        <v>73690915</v>
      </c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>
        <v>426445085</v>
      </c>
      <c r="X99" s="44"/>
      <c r="Y99" s="44"/>
      <c r="Z99" s="44"/>
      <c r="AA99" s="44"/>
      <c r="AB99" s="44"/>
      <c r="AC99" s="44"/>
      <c r="AD99" s="44"/>
      <c r="AE99" s="44"/>
      <c r="AF99" s="44"/>
      <c r="AG99" s="46">
        <f t="shared" si="55"/>
        <v>0</v>
      </c>
      <c r="AH99" s="44">
        <f t="shared" si="40"/>
        <v>0</v>
      </c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46">
        <f t="shared" si="57"/>
        <v>1</v>
      </c>
      <c r="BG99" s="44">
        <f t="shared" si="64"/>
        <v>426445085</v>
      </c>
      <c r="BH99" s="44">
        <f t="shared" si="81"/>
        <v>0</v>
      </c>
      <c r="BI99" s="44">
        <f t="shared" si="81"/>
        <v>0</v>
      </c>
      <c r="BJ99" s="44">
        <f t="shared" si="81"/>
        <v>0</v>
      </c>
      <c r="BK99" s="44">
        <f t="shared" si="81"/>
        <v>0</v>
      </c>
      <c r="BL99" s="44">
        <f t="shared" si="81"/>
        <v>0</v>
      </c>
      <c r="BM99" s="44">
        <f t="shared" si="81"/>
        <v>0</v>
      </c>
      <c r="BN99" s="44">
        <f t="shared" si="81"/>
        <v>0</v>
      </c>
      <c r="BO99" s="44">
        <f t="shared" si="81"/>
        <v>0</v>
      </c>
      <c r="BP99" s="44">
        <f t="shared" si="81"/>
        <v>0</v>
      </c>
      <c r="BQ99" s="44">
        <f t="shared" si="81"/>
        <v>0</v>
      </c>
      <c r="BR99" s="44">
        <f t="shared" si="81"/>
        <v>0</v>
      </c>
      <c r="BS99" s="44">
        <f t="shared" si="81"/>
        <v>0</v>
      </c>
      <c r="BT99" s="44">
        <f t="shared" si="81"/>
        <v>0</v>
      </c>
      <c r="BU99" s="44">
        <f t="shared" si="81"/>
        <v>426445085</v>
      </c>
      <c r="BV99" s="44">
        <f t="shared" si="81"/>
        <v>0</v>
      </c>
      <c r="BW99" s="44">
        <f t="shared" si="81"/>
        <v>0</v>
      </c>
      <c r="BX99" s="44">
        <f t="shared" si="82"/>
        <v>0</v>
      </c>
      <c r="BY99" s="44">
        <f t="shared" si="82"/>
        <v>0</v>
      </c>
      <c r="BZ99" s="44">
        <f t="shared" si="82"/>
        <v>0</v>
      </c>
      <c r="CA99" s="44">
        <f t="shared" si="82"/>
        <v>0</v>
      </c>
      <c r="CB99" s="44">
        <f t="shared" si="82"/>
        <v>0</v>
      </c>
      <c r="CC99" s="44">
        <f t="shared" si="82"/>
        <v>0</v>
      </c>
      <c r="CD99" s="44">
        <f t="shared" si="82"/>
        <v>0</v>
      </c>
      <c r="CE99" s="46">
        <f t="shared" si="44"/>
        <v>0</v>
      </c>
      <c r="CF99" s="44">
        <f t="shared" si="45"/>
        <v>0</v>
      </c>
      <c r="CG99" s="124"/>
      <c r="CH99" s="124"/>
      <c r="CI99" s="124"/>
      <c r="CJ99" s="124"/>
      <c r="CK99" s="124"/>
      <c r="CL99" s="124"/>
      <c r="CM99" s="124"/>
      <c r="CN99" s="44"/>
      <c r="CO99" s="4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46">
        <f t="shared" si="56"/>
        <v>1</v>
      </c>
      <c r="DE99" s="44">
        <f t="shared" si="83"/>
        <v>426445085</v>
      </c>
      <c r="DF99" s="44">
        <f t="shared" si="84"/>
        <v>0</v>
      </c>
      <c r="DG99" s="44">
        <f t="shared" si="84"/>
        <v>0</v>
      </c>
      <c r="DH99" s="44">
        <f t="shared" si="84"/>
        <v>0</v>
      </c>
      <c r="DI99" s="44">
        <f t="shared" si="84"/>
        <v>0</v>
      </c>
      <c r="DJ99" s="44">
        <f t="shared" si="84"/>
        <v>0</v>
      </c>
      <c r="DK99" s="44">
        <f t="shared" si="84"/>
        <v>0</v>
      </c>
      <c r="DL99" s="44">
        <f t="shared" si="84"/>
        <v>0</v>
      </c>
      <c r="DM99" s="44">
        <f t="shared" si="84"/>
        <v>0</v>
      </c>
      <c r="DN99" s="44">
        <f t="shared" si="84"/>
        <v>0</v>
      </c>
      <c r="DO99" s="44">
        <f t="shared" si="84"/>
        <v>0</v>
      </c>
      <c r="DP99" s="44">
        <f t="shared" si="84"/>
        <v>0</v>
      </c>
      <c r="DQ99" s="44">
        <f t="shared" si="84"/>
        <v>0</v>
      </c>
      <c r="DR99" s="44">
        <f t="shared" si="84"/>
        <v>0</v>
      </c>
      <c r="DS99" s="44">
        <f t="shared" si="84"/>
        <v>426445085</v>
      </c>
      <c r="DT99" s="44">
        <f t="shared" si="84"/>
        <v>0</v>
      </c>
      <c r="DU99" s="44">
        <f t="shared" si="84"/>
        <v>0</v>
      </c>
      <c r="DV99" s="44">
        <f t="shared" si="85"/>
        <v>0</v>
      </c>
      <c r="DW99" s="44">
        <f t="shared" si="85"/>
        <v>0</v>
      </c>
      <c r="DX99" s="44">
        <f t="shared" si="85"/>
        <v>0</v>
      </c>
      <c r="DY99" s="44">
        <f t="shared" si="85"/>
        <v>0</v>
      </c>
      <c r="DZ99" s="44">
        <f t="shared" si="85"/>
        <v>0</v>
      </c>
      <c r="EA99" s="44">
        <f t="shared" si="85"/>
        <v>0</v>
      </c>
      <c r="EB99" s="44">
        <f t="shared" si="85"/>
        <v>0</v>
      </c>
      <c r="ED99"/>
      <c r="EE99" s="75">
        <f t="shared" si="86"/>
        <v>426445085</v>
      </c>
      <c r="EF99" s="75">
        <f t="shared" si="72"/>
        <v>0</v>
      </c>
    </row>
    <row r="100" spans="1:137" ht="19.899999999999999" hidden="1" customHeight="1" x14ac:dyDescent="0.25">
      <c r="A100" s="50"/>
      <c r="B100" s="121"/>
      <c r="C100" s="83" t="s">
        <v>291</v>
      </c>
      <c r="D100" s="41" t="s">
        <v>292</v>
      </c>
      <c r="E100" s="123">
        <v>111</v>
      </c>
      <c r="F100" s="43" t="s">
        <v>240</v>
      </c>
      <c r="G100" s="44">
        <f t="shared" si="80"/>
        <v>5000000</v>
      </c>
      <c r="H100" s="45">
        <v>350000000</v>
      </c>
      <c r="I100" s="45">
        <f t="shared" si="87"/>
        <v>345000000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>
        <f>5000000</f>
        <v>5000000</v>
      </c>
      <c r="AG100" s="46">
        <f t="shared" si="55"/>
        <v>1</v>
      </c>
      <c r="AH100" s="44">
        <f t="shared" si="40"/>
        <v>5000000</v>
      </c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>
        <f>+'[4]Acuerdo PLAN INVERSIÓN 2021'!$G$2770</f>
        <v>5000000</v>
      </c>
      <c r="BF100" s="46">
        <f t="shared" si="57"/>
        <v>0</v>
      </c>
      <c r="BG100" s="44">
        <f t="shared" si="64"/>
        <v>0</v>
      </c>
      <c r="BH100" s="44">
        <f t="shared" si="81"/>
        <v>0</v>
      </c>
      <c r="BI100" s="44">
        <f t="shared" si="81"/>
        <v>0</v>
      </c>
      <c r="BJ100" s="44">
        <f t="shared" si="81"/>
        <v>0</v>
      </c>
      <c r="BK100" s="44">
        <f t="shared" si="81"/>
        <v>0</v>
      </c>
      <c r="BL100" s="44">
        <f t="shared" si="81"/>
        <v>0</v>
      </c>
      <c r="BM100" s="44">
        <f t="shared" si="81"/>
        <v>0</v>
      </c>
      <c r="BN100" s="44">
        <f t="shared" si="81"/>
        <v>0</v>
      </c>
      <c r="BO100" s="44">
        <f t="shared" si="81"/>
        <v>0</v>
      </c>
      <c r="BP100" s="44">
        <f t="shared" si="81"/>
        <v>0</v>
      </c>
      <c r="BQ100" s="44">
        <f t="shared" si="81"/>
        <v>0</v>
      </c>
      <c r="BR100" s="44">
        <f t="shared" si="81"/>
        <v>0</v>
      </c>
      <c r="BS100" s="44">
        <f t="shared" si="81"/>
        <v>0</v>
      </c>
      <c r="BT100" s="44">
        <f t="shared" si="81"/>
        <v>0</v>
      </c>
      <c r="BU100" s="44">
        <f t="shared" si="81"/>
        <v>0</v>
      </c>
      <c r="BV100" s="44">
        <f t="shared" si="81"/>
        <v>0</v>
      </c>
      <c r="BW100" s="44">
        <f t="shared" si="81"/>
        <v>0</v>
      </c>
      <c r="BX100" s="44">
        <f t="shared" si="82"/>
        <v>0</v>
      </c>
      <c r="BY100" s="44">
        <f t="shared" si="82"/>
        <v>0</v>
      </c>
      <c r="BZ100" s="44">
        <f t="shared" si="82"/>
        <v>0</v>
      </c>
      <c r="CA100" s="44">
        <f t="shared" si="82"/>
        <v>0</v>
      </c>
      <c r="CB100" s="44">
        <f t="shared" si="82"/>
        <v>0</v>
      </c>
      <c r="CC100" s="44">
        <f t="shared" si="82"/>
        <v>0</v>
      </c>
      <c r="CD100" s="44">
        <f t="shared" si="82"/>
        <v>0</v>
      </c>
      <c r="CE100" s="46">
        <f t="shared" si="44"/>
        <v>0.99641999999999997</v>
      </c>
      <c r="CF100" s="44">
        <f t="shared" si="45"/>
        <v>4982100</v>
      </c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124">
        <f>+'[2]Acuerdo PLAN INVERSIÓN 2021'!$H$3892</f>
        <v>4982100</v>
      </c>
      <c r="DD100" s="46">
        <f t="shared" si="56"/>
        <v>3.5800000000000276E-3</v>
      </c>
      <c r="DE100" s="44">
        <f t="shared" si="83"/>
        <v>17900</v>
      </c>
      <c r="DF100" s="44">
        <f t="shared" si="84"/>
        <v>0</v>
      </c>
      <c r="DG100" s="44">
        <f t="shared" si="84"/>
        <v>0</v>
      </c>
      <c r="DH100" s="44">
        <f t="shared" si="84"/>
        <v>0</v>
      </c>
      <c r="DI100" s="44">
        <f t="shared" si="84"/>
        <v>0</v>
      </c>
      <c r="DJ100" s="44">
        <f t="shared" si="84"/>
        <v>0</v>
      </c>
      <c r="DK100" s="44">
        <f t="shared" si="84"/>
        <v>0</v>
      </c>
      <c r="DL100" s="44">
        <f t="shared" si="84"/>
        <v>0</v>
      </c>
      <c r="DM100" s="44">
        <f t="shared" si="84"/>
        <v>0</v>
      </c>
      <c r="DN100" s="44">
        <f t="shared" si="84"/>
        <v>0</v>
      </c>
      <c r="DO100" s="44">
        <f t="shared" si="84"/>
        <v>0</v>
      </c>
      <c r="DP100" s="44">
        <f t="shared" si="84"/>
        <v>0</v>
      </c>
      <c r="DQ100" s="44">
        <f t="shared" si="84"/>
        <v>0</v>
      </c>
      <c r="DR100" s="44">
        <f t="shared" si="84"/>
        <v>0</v>
      </c>
      <c r="DS100" s="44">
        <f t="shared" si="84"/>
        <v>0</v>
      </c>
      <c r="DT100" s="44">
        <f t="shared" si="84"/>
        <v>0</v>
      </c>
      <c r="DU100" s="44">
        <f t="shared" si="84"/>
        <v>0</v>
      </c>
      <c r="DV100" s="44">
        <f t="shared" si="85"/>
        <v>0</v>
      </c>
      <c r="DW100" s="44">
        <f t="shared" si="85"/>
        <v>0</v>
      </c>
      <c r="DX100" s="44">
        <f t="shared" si="85"/>
        <v>0</v>
      </c>
      <c r="DY100" s="44">
        <f t="shared" si="85"/>
        <v>0</v>
      </c>
      <c r="DZ100" s="44">
        <f t="shared" si="85"/>
        <v>0</v>
      </c>
      <c r="EA100" s="44">
        <f t="shared" si="85"/>
        <v>0</v>
      </c>
      <c r="EB100" s="44">
        <f t="shared" si="85"/>
        <v>17900</v>
      </c>
      <c r="EE100" s="75">
        <f t="shared" si="86"/>
        <v>5000000</v>
      </c>
      <c r="EF100" s="75">
        <f t="shared" si="72"/>
        <v>4982100</v>
      </c>
    </row>
    <row r="101" spans="1:137" ht="28.5" hidden="1" customHeight="1" x14ac:dyDescent="0.25">
      <c r="A101" s="50"/>
      <c r="B101" s="121"/>
      <c r="C101" s="83" t="s">
        <v>293</v>
      </c>
      <c r="D101" s="99" t="s">
        <v>294</v>
      </c>
      <c r="E101" s="123">
        <v>111</v>
      </c>
      <c r="F101" s="43" t="s">
        <v>295</v>
      </c>
      <c r="G101" s="44">
        <f t="shared" si="80"/>
        <v>3186726279</v>
      </c>
      <c r="H101" s="45">
        <v>100000000</v>
      </c>
      <c r="I101" s="45">
        <f t="shared" si="87"/>
        <v>-3086726279</v>
      </c>
      <c r="J101" s="44"/>
      <c r="K101" s="115">
        <f>21492594+22519000</f>
        <v>44011594</v>
      </c>
      <c r="L101" s="44"/>
      <c r="M101" s="44">
        <f>1835637612+125185079</f>
        <v>1960822691</v>
      </c>
      <c r="N101" s="44"/>
      <c r="O101" s="44"/>
      <c r="P101" s="44"/>
      <c r="Q101" s="44"/>
      <c r="R101" s="44">
        <f>336385230+33606591</f>
        <v>369991821</v>
      </c>
      <c r="S101" s="44">
        <f>50000000+50000000</f>
        <v>100000000</v>
      </c>
      <c r="T101" s="44"/>
      <c r="U101" s="44"/>
      <c r="V101" s="44">
        <f>72000000+82630269</f>
        <v>154630269</v>
      </c>
      <c r="W101" s="44"/>
      <c r="X101" s="44"/>
      <c r="Y101" s="44"/>
      <c r="Z101" s="44"/>
      <c r="AA101" s="44">
        <v>404000000</v>
      </c>
      <c r="AB101" s="44"/>
      <c r="AC101" s="44"/>
      <c r="AD101" s="44"/>
      <c r="AE101" s="44">
        <f>123846638-36000000-10000000</f>
        <v>77846638</v>
      </c>
      <c r="AF101" s="44">
        <f>15000000+20000000+30000000+25000000-14576734</f>
        <v>75423266</v>
      </c>
      <c r="AG101" s="46">
        <f t="shared" si="55"/>
        <v>0.32338502675648223</v>
      </c>
      <c r="AH101" s="44">
        <f t="shared" si="40"/>
        <v>1030539563</v>
      </c>
      <c r="AI101" s="44"/>
      <c r="AJ101" s="44">
        <f>+'[5]Acuerdo PLAN INVERSIÓN 2021'!$J$6546</f>
        <v>44011594</v>
      </c>
      <c r="AK101" s="44"/>
      <c r="AL101" s="44">
        <f>+'[5]Acuerdo PLAN INVERSIÓN 2021'!$M$6546</f>
        <v>437431833</v>
      </c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>
        <f>+'[5]Acuerdo PLAN INVERSIÓN 2021'!$X$6546</f>
        <v>403999498</v>
      </c>
      <c r="BA101" s="44"/>
      <c r="BB101" s="44"/>
      <c r="BC101" s="44"/>
      <c r="BD101" s="44">
        <f>+'[1]Acuerdo PLAN INVERSIÓN 2021'!$AE$4742</f>
        <v>77846638</v>
      </c>
      <c r="BE101" s="44">
        <f>+'[6]Acuerdo PLAN INVERSIÓN 2021'!$AF$5647</f>
        <v>67250000</v>
      </c>
      <c r="BF101" s="46">
        <f t="shared" si="57"/>
        <v>0.67661497324351783</v>
      </c>
      <c r="BG101" s="44">
        <f t="shared" si="64"/>
        <v>2156186716</v>
      </c>
      <c r="BH101" s="44">
        <f t="shared" si="81"/>
        <v>0</v>
      </c>
      <c r="BI101" s="44">
        <f t="shared" si="81"/>
        <v>0</v>
      </c>
      <c r="BJ101" s="44">
        <f t="shared" si="81"/>
        <v>0</v>
      </c>
      <c r="BK101" s="44">
        <f t="shared" si="81"/>
        <v>1523390858</v>
      </c>
      <c r="BL101" s="44">
        <f t="shared" si="81"/>
        <v>0</v>
      </c>
      <c r="BM101" s="44">
        <f t="shared" si="81"/>
        <v>0</v>
      </c>
      <c r="BN101" s="44">
        <f t="shared" si="81"/>
        <v>0</v>
      </c>
      <c r="BO101" s="44">
        <f t="shared" si="81"/>
        <v>0</v>
      </c>
      <c r="BP101" s="44">
        <f t="shared" si="81"/>
        <v>369991821</v>
      </c>
      <c r="BQ101" s="44">
        <f t="shared" si="81"/>
        <v>100000000</v>
      </c>
      <c r="BR101" s="44">
        <f t="shared" si="81"/>
        <v>0</v>
      </c>
      <c r="BS101" s="44">
        <f t="shared" si="81"/>
        <v>0</v>
      </c>
      <c r="BT101" s="44">
        <f t="shared" si="81"/>
        <v>154630269</v>
      </c>
      <c r="BU101" s="44">
        <f t="shared" si="81"/>
        <v>0</v>
      </c>
      <c r="BV101" s="44">
        <f t="shared" si="81"/>
        <v>0</v>
      </c>
      <c r="BW101" s="44">
        <f t="shared" si="81"/>
        <v>0</v>
      </c>
      <c r="BX101" s="44">
        <f t="shared" si="82"/>
        <v>0</v>
      </c>
      <c r="BY101" s="44">
        <f t="shared" si="82"/>
        <v>502</v>
      </c>
      <c r="BZ101" s="44">
        <f t="shared" si="82"/>
        <v>0</v>
      </c>
      <c r="CA101" s="44">
        <f t="shared" si="82"/>
        <v>0</v>
      </c>
      <c r="CB101" s="44">
        <f t="shared" si="82"/>
        <v>0</v>
      </c>
      <c r="CC101" s="44">
        <f t="shared" si="82"/>
        <v>0</v>
      </c>
      <c r="CD101" s="44">
        <f t="shared" si="82"/>
        <v>8173266</v>
      </c>
      <c r="CE101" s="46">
        <f t="shared" si="44"/>
        <v>0.11892244291496615</v>
      </c>
      <c r="CF101" s="44">
        <f t="shared" si="45"/>
        <v>378973274</v>
      </c>
      <c r="CG101" s="44"/>
      <c r="CH101" s="44"/>
      <c r="CI101" s="44"/>
      <c r="CJ101" s="44">
        <f>+'[5]Acuerdo PLAN INVERSIÓN 2021'!$H$6559</f>
        <v>334123055</v>
      </c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>
        <f>+'[5]Acuerdo PLAN INVERSIÓN 2021'!$H$6554</f>
        <v>13021449</v>
      </c>
      <c r="CY101" s="44"/>
      <c r="CZ101" s="44"/>
      <c r="DA101" s="44"/>
      <c r="DB101" s="44"/>
      <c r="DC101" s="44">
        <f>+'[5]Acuerdo PLAN INVERSIÓN 2021'!$H$6551+'[5]Acuerdo PLAN INVERSIÓN 2021'!$H$6562+'[5]Acuerdo PLAN INVERSIÓN 2021'!$H$6565+'[5]Acuerdo PLAN INVERSIÓN 2021'!$H$6568+'[5]Acuerdo PLAN INVERSIÓN 2021'!$H$6573+'[5]Acuerdo PLAN INVERSIÓN 2021'!$H$6576</f>
        <v>31828770</v>
      </c>
      <c r="DD101" s="46">
        <f t="shared" si="56"/>
        <v>0.88107755708503388</v>
      </c>
      <c r="DE101" s="44">
        <f t="shared" si="83"/>
        <v>2807753005</v>
      </c>
      <c r="DF101" s="44">
        <f t="shared" si="84"/>
        <v>0</v>
      </c>
      <c r="DG101" s="44">
        <f t="shared" si="84"/>
        <v>44011594</v>
      </c>
      <c r="DH101" s="44">
        <f t="shared" si="84"/>
        <v>0</v>
      </c>
      <c r="DI101" s="44">
        <f t="shared" si="84"/>
        <v>1626699636</v>
      </c>
      <c r="DJ101" s="44">
        <f t="shared" si="84"/>
        <v>0</v>
      </c>
      <c r="DK101" s="44">
        <f t="shared" si="84"/>
        <v>0</v>
      </c>
      <c r="DL101" s="44">
        <f t="shared" si="84"/>
        <v>0</v>
      </c>
      <c r="DM101" s="44">
        <f t="shared" si="84"/>
        <v>0</v>
      </c>
      <c r="DN101" s="44">
        <f t="shared" si="84"/>
        <v>369991821</v>
      </c>
      <c r="DO101" s="44">
        <f t="shared" si="84"/>
        <v>100000000</v>
      </c>
      <c r="DP101" s="44">
        <f t="shared" si="84"/>
        <v>0</v>
      </c>
      <c r="DQ101" s="44">
        <f t="shared" si="84"/>
        <v>0</v>
      </c>
      <c r="DR101" s="44">
        <f t="shared" si="84"/>
        <v>154630269</v>
      </c>
      <c r="DS101" s="44">
        <f t="shared" si="84"/>
        <v>0</v>
      </c>
      <c r="DT101" s="44">
        <f t="shared" si="84"/>
        <v>0</v>
      </c>
      <c r="DU101" s="44">
        <f t="shared" si="84"/>
        <v>0</v>
      </c>
      <c r="DV101" s="44">
        <f t="shared" si="85"/>
        <v>0</v>
      </c>
      <c r="DW101" s="44">
        <f t="shared" si="85"/>
        <v>390978551</v>
      </c>
      <c r="DX101" s="44">
        <f t="shared" si="85"/>
        <v>0</v>
      </c>
      <c r="DY101" s="44">
        <f t="shared" si="85"/>
        <v>0</v>
      </c>
      <c r="DZ101" s="44">
        <f t="shared" si="85"/>
        <v>0</v>
      </c>
      <c r="EA101" s="44">
        <f t="shared" si="85"/>
        <v>77846638</v>
      </c>
      <c r="EB101" s="44">
        <f t="shared" si="85"/>
        <v>43594496</v>
      </c>
      <c r="EE101" s="75">
        <f t="shared" si="86"/>
        <v>3186726279</v>
      </c>
      <c r="EF101" s="75">
        <f t="shared" si="72"/>
        <v>378973274</v>
      </c>
    </row>
    <row r="102" spans="1:137" s="125" customFormat="1" ht="24" hidden="1" customHeight="1" x14ac:dyDescent="0.25">
      <c r="A102" s="50"/>
      <c r="B102" s="121"/>
      <c r="C102" s="83" t="s">
        <v>296</v>
      </c>
      <c r="D102" s="54" t="s">
        <v>297</v>
      </c>
      <c r="E102" s="123">
        <v>111</v>
      </c>
      <c r="F102" s="43" t="s">
        <v>240</v>
      </c>
      <c r="G102" s="44">
        <f t="shared" si="80"/>
        <v>727408031</v>
      </c>
      <c r="H102" s="45">
        <v>300000000</v>
      </c>
      <c r="I102" s="45">
        <f t="shared" si="87"/>
        <v>-427408031</v>
      </c>
      <c r="J102" s="78"/>
      <c r="K102" s="44">
        <v>19660000</v>
      </c>
      <c r="L102" s="44"/>
      <c r="M102" s="44">
        <f>110000000+346362801</f>
        <v>456362801</v>
      </c>
      <c r="N102" s="44"/>
      <c r="O102" s="44"/>
      <c r="P102" s="44"/>
      <c r="Q102" s="44"/>
      <c r="R102" s="44"/>
      <c r="S102" s="44"/>
      <c r="T102" s="44">
        <v>251385230</v>
      </c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6">
        <f t="shared" si="55"/>
        <v>0.7952691135465344</v>
      </c>
      <c r="AH102" s="44">
        <f t="shared" si="40"/>
        <v>578485140</v>
      </c>
      <c r="AI102" s="124"/>
      <c r="AJ102" s="124">
        <f>+'[6]Acuerdo PLAN INVERSIÓN 2021'!$J$5684</f>
        <v>19660000</v>
      </c>
      <c r="AK102" s="124"/>
      <c r="AL102" s="124">
        <f>+'[6]Acuerdo PLAN INVERSIÓN 2021'!$M$5684</f>
        <v>456362491</v>
      </c>
      <c r="AM102" s="124"/>
      <c r="AN102" s="124"/>
      <c r="AO102" s="124"/>
      <c r="AP102" s="124"/>
      <c r="AQ102" s="124"/>
      <c r="AR102" s="124"/>
      <c r="AS102" s="124">
        <f>+'[6]Acuerdo PLAN INVERSIÓN 2021'!$V$5684</f>
        <v>102462649</v>
      </c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46">
        <f t="shared" si="57"/>
        <v>0.2047308864534656</v>
      </c>
      <c r="BG102" s="44">
        <f t="shared" si="64"/>
        <v>148922891</v>
      </c>
      <c r="BH102" s="44">
        <f t="shared" si="81"/>
        <v>0</v>
      </c>
      <c r="BI102" s="44">
        <f t="shared" si="81"/>
        <v>0</v>
      </c>
      <c r="BJ102" s="44">
        <f t="shared" si="81"/>
        <v>0</v>
      </c>
      <c r="BK102" s="44">
        <f t="shared" si="81"/>
        <v>310</v>
      </c>
      <c r="BL102" s="44">
        <f t="shared" si="81"/>
        <v>0</v>
      </c>
      <c r="BM102" s="44">
        <f t="shared" si="81"/>
        <v>0</v>
      </c>
      <c r="BN102" s="44">
        <f t="shared" si="81"/>
        <v>0</v>
      </c>
      <c r="BO102" s="44">
        <f t="shared" si="81"/>
        <v>0</v>
      </c>
      <c r="BP102" s="44">
        <f t="shared" si="81"/>
        <v>0</v>
      </c>
      <c r="BQ102" s="44">
        <f t="shared" si="81"/>
        <v>0</v>
      </c>
      <c r="BR102" s="44">
        <f t="shared" si="81"/>
        <v>148922581</v>
      </c>
      <c r="BS102" s="44">
        <f t="shared" si="81"/>
        <v>0</v>
      </c>
      <c r="BT102" s="44">
        <f t="shared" si="81"/>
        <v>0</v>
      </c>
      <c r="BU102" s="44">
        <f t="shared" si="81"/>
        <v>0</v>
      </c>
      <c r="BV102" s="44">
        <f t="shared" si="81"/>
        <v>0</v>
      </c>
      <c r="BW102" s="44">
        <f t="shared" si="81"/>
        <v>0</v>
      </c>
      <c r="BX102" s="44">
        <f t="shared" si="82"/>
        <v>0</v>
      </c>
      <c r="BY102" s="44">
        <f t="shared" si="82"/>
        <v>0</v>
      </c>
      <c r="BZ102" s="44">
        <f t="shared" si="82"/>
        <v>0</v>
      </c>
      <c r="CA102" s="44">
        <f t="shared" si="82"/>
        <v>0</v>
      </c>
      <c r="CB102" s="44">
        <f t="shared" si="82"/>
        <v>0</v>
      </c>
      <c r="CC102" s="44">
        <f t="shared" si="82"/>
        <v>0</v>
      </c>
      <c r="CD102" s="44">
        <f t="shared" si="82"/>
        <v>0</v>
      </c>
      <c r="CE102" s="46">
        <f t="shared" si="44"/>
        <v>0.19729648819343321</v>
      </c>
      <c r="CF102" s="44">
        <f t="shared" si="45"/>
        <v>143515050</v>
      </c>
      <c r="CG102" s="124"/>
      <c r="CH102" s="124"/>
      <c r="CI102" s="124"/>
      <c r="CJ102" s="124">
        <f>+'[5]Acuerdo PLAN INVERSIÓN 2021'!$H$6600</f>
        <v>143515050</v>
      </c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46">
        <f t="shared" si="56"/>
        <v>0.80270351180656685</v>
      </c>
      <c r="DE102" s="44">
        <f t="shared" si="83"/>
        <v>583892981</v>
      </c>
      <c r="DF102" s="44">
        <f t="shared" si="84"/>
        <v>0</v>
      </c>
      <c r="DG102" s="44">
        <f t="shared" si="84"/>
        <v>19660000</v>
      </c>
      <c r="DH102" s="44">
        <f t="shared" si="84"/>
        <v>0</v>
      </c>
      <c r="DI102" s="44">
        <f t="shared" si="84"/>
        <v>312847751</v>
      </c>
      <c r="DJ102" s="44">
        <f t="shared" si="84"/>
        <v>0</v>
      </c>
      <c r="DK102" s="44">
        <f t="shared" si="84"/>
        <v>0</v>
      </c>
      <c r="DL102" s="44">
        <f t="shared" si="84"/>
        <v>0</v>
      </c>
      <c r="DM102" s="44">
        <f t="shared" si="84"/>
        <v>0</v>
      </c>
      <c r="DN102" s="44">
        <f t="shared" si="84"/>
        <v>0</v>
      </c>
      <c r="DO102" s="44">
        <f t="shared" si="84"/>
        <v>0</v>
      </c>
      <c r="DP102" s="44">
        <f t="shared" si="84"/>
        <v>251385230</v>
      </c>
      <c r="DQ102" s="44">
        <f t="shared" si="84"/>
        <v>0</v>
      </c>
      <c r="DR102" s="44">
        <f t="shared" si="84"/>
        <v>0</v>
      </c>
      <c r="DS102" s="44">
        <f t="shared" si="84"/>
        <v>0</v>
      </c>
      <c r="DT102" s="44">
        <f t="shared" si="84"/>
        <v>0</v>
      </c>
      <c r="DU102" s="44">
        <f t="shared" si="84"/>
        <v>0</v>
      </c>
      <c r="DV102" s="44">
        <f t="shared" si="85"/>
        <v>0</v>
      </c>
      <c r="DW102" s="44">
        <f t="shared" si="85"/>
        <v>0</v>
      </c>
      <c r="DX102" s="44">
        <f t="shared" si="85"/>
        <v>0</v>
      </c>
      <c r="DY102" s="44">
        <f t="shared" si="85"/>
        <v>0</v>
      </c>
      <c r="DZ102" s="44">
        <f t="shared" si="85"/>
        <v>0</v>
      </c>
      <c r="EA102" s="44">
        <f t="shared" si="85"/>
        <v>0</v>
      </c>
      <c r="EB102" s="44">
        <f t="shared" si="85"/>
        <v>0</v>
      </c>
      <c r="ED102"/>
      <c r="EE102" s="75">
        <f t="shared" si="86"/>
        <v>727408031</v>
      </c>
      <c r="EF102" s="75">
        <f t="shared" si="72"/>
        <v>143515050</v>
      </c>
    </row>
    <row r="103" spans="1:137" ht="36" hidden="1" customHeight="1" x14ac:dyDescent="0.25">
      <c r="A103" s="50"/>
      <c r="B103" s="121" t="s">
        <v>298</v>
      </c>
      <c r="C103" s="83" t="s">
        <v>299</v>
      </c>
      <c r="D103" s="41" t="s">
        <v>300</v>
      </c>
      <c r="E103" s="122">
        <v>211</v>
      </c>
      <c r="F103" s="43" t="s">
        <v>301</v>
      </c>
      <c r="G103" s="44">
        <f t="shared" si="80"/>
        <v>1526755245</v>
      </c>
      <c r="H103" s="45">
        <v>1200000000</v>
      </c>
      <c r="I103" s="45">
        <f t="shared" si="87"/>
        <v>-326755245</v>
      </c>
      <c r="J103" s="44"/>
      <c r="K103" s="44">
        <f>50000000</f>
        <v>50000000</v>
      </c>
      <c r="L103" s="44"/>
      <c r="M103" s="126">
        <f>27498356+721081879</f>
        <v>748580235</v>
      </c>
      <c r="N103" s="44"/>
      <c r="O103" s="44"/>
      <c r="P103" s="44"/>
      <c r="Q103" s="44">
        <f>65000000+50000000</f>
        <v>115000000</v>
      </c>
      <c r="R103" s="44"/>
      <c r="S103" s="44">
        <f>61385230+85161559</f>
        <v>146546789</v>
      </c>
      <c r="T103" s="44">
        <v>70000000</v>
      </c>
      <c r="U103" s="44">
        <v>266250</v>
      </c>
      <c r="V103" s="44"/>
      <c r="W103" s="44">
        <v>76223671</v>
      </c>
      <c r="X103" s="44">
        <v>10997954</v>
      </c>
      <c r="Y103" s="44"/>
      <c r="Z103" s="44"/>
      <c r="AA103" s="44">
        <v>56600000</v>
      </c>
      <c r="AB103" s="44"/>
      <c r="AC103" s="44"/>
      <c r="AD103" s="44"/>
      <c r="AE103" s="44">
        <f>954549+36000000+10000000</f>
        <v>46954549</v>
      </c>
      <c r="AF103" s="44">
        <f>110000000+70591405+4994392+20000000</f>
        <v>205585797</v>
      </c>
      <c r="AG103" s="46">
        <f t="shared" si="55"/>
        <v>0.38402999951704769</v>
      </c>
      <c r="AH103" s="44">
        <f t="shared" si="40"/>
        <v>586319816</v>
      </c>
      <c r="AI103" s="44"/>
      <c r="AJ103" s="44">
        <f>+'[5]Acuerdo PLAN INVERSIÓN 2021'!$J$6612</f>
        <v>50000000</v>
      </c>
      <c r="AK103" s="44"/>
      <c r="AL103" s="44">
        <f>+'[5]Acuerdo PLAN INVERSIÓN 2021'!$M$6612</f>
        <v>444413875</v>
      </c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>
        <f>+'[5]Acuerdo PLAN INVERSIÓN 2021'!$AE$6612</f>
        <v>46954549</v>
      </c>
      <c r="BE103" s="124">
        <f>+'[5]Acuerdo PLAN INVERSIÓN 2021'!$AF$6612</f>
        <v>44951392</v>
      </c>
      <c r="BF103" s="46">
        <f t="shared" si="57"/>
        <v>0.61597000048295225</v>
      </c>
      <c r="BG103" s="44">
        <f t="shared" si="64"/>
        <v>940435429</v>
      </c>
      <c r="BH103" s="44">
        <f t="shared" si="81"/>
        <v>0</v>
      </c>
      <c r="BI103" s="44">
        <f t="shared" si="81"/>
        <v>0</v>
      </c>
      <c r="BJ103" s="44">
        <f t="shared" si="81"/>
        <v>0</v>
      </c>
      <c r="BK103" s="44">
        <f t="shared" si="81"/>
        <v>304166360</v>
      </c>
      <c r="BL103" s="44">
        <f t="shared" si="81"/>
        <v>0</v>
      </c>
      <c r="BM103" s="44">
        <f t="shared" si="81"/>
        <v>0</v>
      </c>
      <c r="BN103" s="44">
        <f t="shared" si="81"/>
        <v>0</v>
      </c>
      <c r="BO103" s="44">
        <f t="shared" si="81"/>
        <v>115000000</v>
      </c>
      <c r="BP103" s="44">
        <f t="shared" si="81"/>
        <v>0</v>
      </c>
      <c r="BQ103" s="44">
        <f t="shared" si="81"/>
        <v>146546789</v>
      </c>
      <c r="BR103" s="44">
        <f t="shared" si="81"/>
        <v>70000000</v>
      </c>
      <c r="BS103" s="44">
        <f t="shared" si="81"/>
        <v>266250</v>
      </c>
      <c r="BT103" s="44">
        <f t="shared" si="81"/>
        <v>0</v>
      </c>
      <c r="BU103" s="44">
        <f t="shared" si="81"/>
        <v>76223671</v>
      </c>
      <c r="BV103" s="44">
        <f t="shared" si="81"/>
        <v>10997954</v>
      </c>
      <c r="BW103" s="44">
        <f t="shared" si="81"/>
        <v>0</v>
      </c>
      <c r="BX103" s="44">
        <f t="shared" si="82"/>
        <v>0</v>
      </c>
      <c r="BY103" s="44">
        <f t="shared" si="82"/>
        <v>56600000</v>
      </c>
      <c r="BZ103" s="44">
        <f t="shared" si="82"/>
        <v>0</v>
      </c>
      <c r="CA103" s="44">
        <f t="shared" si="82"/>
        <v>0</v>
      </c>
      <c r="CB103" s="44">
        <f t="shared" si="82"/>
        <v>0</v>
      </c>
      <c r="CC103" s="44">
        <f t="shared" si="82"/>
        <v>0</v>
      </c>
      <c r="CD103" s="44">
        <f t="shared" si="82"/>
        <v>160634405</v>
      </c>
      <c r="CE103" s="46">
        <f t="shared" si="44"/>
        <v>4.4009526883924344E-2</v>
      </c>
      <c r="CF103" s="44">
        <f t="shared" si="45"/>
        <v>67191776</v>
      </c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>
        <f>+'[5]Acuerdo PLAN INVERSIÓN 2021'!$H$6624+'[5]Acuerdo PLAN INVERSIÓN 2021'!$H$6627+'[5]Acuerdo PLAN INVERSIÓN 2021'!$H$6632+'[5]Acuerdo PLAN INVERSIÓN 2021'!$H$6635</f>
        <v>44817066</v>
      </c>
      <c r="DC103" s="44">
        <f>+'[5]Acuerdo PLAN INVERSIÓN 2021'!$H$6613+'[5]Acuerdo PLAN INVERSIÓN 2021'!$H$6616+'[5]Acuerdo PLAN INVERSIÓN 2021'!$H$6621</f>
        <v>22374710</v>
      </c>
      <c r="DD103" s="46">
        <f t="shared" si="56"/>
        <v>0.95599047311607566</v>
      </c>
      <c r="DE103" s="44">
        <f t="shared" si="83"/>
        <v>1459563469</v>
      </c>
      <c r="DF103" s="44">
        <f t="shared" si="84"/>
        <v>0</v>
      </c>
      <c r="DG103" s="44">
        <f t="shared" si="84"/>
        <v>50000000</v>
      </c>
      <c r="DH103" s="44">
        <f t="shared" si="84"/>
        <v>0</v>
      </c>
      <c r="DI103" s="44">
        <f t="shared" si="84"/>
        <v>748580235</v>
      </c>
      <c r="DJ103" s="44">
        <f t="shared" si="84"/>
        <v>0</v>
      </c>
      <c r="DK103" s="44">
        <f t="shared" si="84"/>
        <v>0</v>
      </c>
      <c r="DL103" s="44">
        <f t="shared" si="84"/>
        <v>0</v>
      </c>
      <c r="DM103" s="44">
        <f t="shared" si="84"/>
        <v>115000000</v>
      </c>
      <c r="DN103" s="44">
        <f t="shared" si="84"/>
        <v>0</v>
      </c>
      <c r="DO103" s="44">
        <f t="shared" si="84"/>
        <v>146546789</v>
      </c>
      <c r="DP103" s="44">
        <f t="shared" si="84"/>
        <v>70000000</v>
      </c>
      <c r="DQ103" s="44">
        <f t="shared" si="84"/>
        <v>266250</v>
      </c>
      <c r="DR103" s="44">
        <f t="shared" si="84"/>
        <v>0</v>
      </c>
      <c r="DS103" s="44">
        <f t="shared" si="84"/>
        <v>76223671</v>
      </c>
      <c r="DT103" s="44">
        <f t="shared" si="84"/>
        <v>10997954</v>
      </c>
      <c r="DU103" s="44">
        <f t="shared" si="84"/>
        <v>0</v>
      </c>
      <c r="DV103" s="44">
        <f t="shared" si="85"/>
        <v>0</v>
      </c>
      <c r="DW103" s="44">
        <f t="shared" si="85"/>
        <v>56600000</v>
      </c>
      <c r="DX103" s="44">
        <f t="shared" si="85"/>
        <v>0</v>
      </c>
      <c r="DY103" s="44">
        <f t="shared" si="85"/>
        <v>0</v>
      </c>
      <c r="DZ103" s="44">
        <f t="shared" si="85"/>
        <v>0</v>
      </c>
      <c r="EA103" s="44">
        <f t="shared" si="85"/>
        <v>2137483</v>
      </c>
      <c r="EB103" s="44">
        <f t="shared" si="85"/>
        <v>183211087</v>
      </c>
      <c r="EE103" s="75">
        <f t="shared" si="86"/>
        <v>1526755245</v>
      </c>
      <c r="EF103" s="75">
        <f t="shared" si="72"/>
        <v>67191776</v>
      </c>
    </row>
    <row r="104" spans="1:137" ht="43.5" hidden="1" customHeight="1" x14ac:dyDescent="0.25">
      <c r="A104" s="50"/>
      <c r="B104" s="121"/>
      <c r="C104" s="83" t="s">
        <v>302</v>
      </c>
      <c r="D104" s="41" t="s">
        <v>303</v>
      </c>
      <c r="E104" s="122">
        <v>211</v>
      </c>
      <c r="F104" s="43" t="s">
        <v>304</v>
      </c>
      <c r="G104" s="44">
        <f t="shared" si="80"/>
        <v>177162497</v>
      </c>
      <c r="H104" s="45">
        <v>600000000</v>
      </c>
      <c r="I104" s="45">
        <f t="shared" si="87"/>
        <v>422837503</v>
      </c>
      <c r="J104" s="78"/>
      <c r="K104" s="44">
        <f>92303390+30000000</f>
        <v>122303390</v>
      </c>
      <c r="L104" s="44"/>
      <c r="M104" s="44">
        <f>35810000</f>
        <v>35810000</v>
      </c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>
        <f>11000000+1249107+6800000</f>
        <v>19049107</v>
      </c>
      <c r="AG104" s="46">
        <f t="shared" si="55"/>
        <v>0.18609529419762016</v>
      </c>
      <c r="AH104" s="44">
        <f t="shared" si="40"/>
        <v>32969107</v>
      </c>
      <c r="AI104" s="44"/>
      <c r="AJ104" s="44"/>
      <c r="AK104" s="44"/>
      <c r="AL104" s="44">
        <f>+'[5]Acuerdo PLAN INVERSIÓN 2021'!$M$6684</f>
        <v>21920000</v>
      </c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>
        <f>+'[5]Acuerdo PLAN INVERSIÓN 2021'!$AF$6684</f>
        <v>11049107</v>
      </c>
      <c r="BF104" s="46">
        <f t="shared" si="57"/>
        <v>0.81390470580237984</v>
      </c>
      <c r="BG104" s="44">
        <f t="shared" si="64"/>
        <v>144193390</v>
      </c>
      <c r="BH104" s="44">
        <f t="shared" si="81"/>
        <v>0</v>
      </c>
      <c r="BI104" s="44">
        <f t="shared" si="81"/>
        <v>122303390</v>
      </c>
      <c r="BJ104" s="44">
        <f t="shared" si="81"/>
        <v>0</v>
      </c>
      <c r="BK104" s="44">
        <f t="shared" si="81"/>
        <v>13890000</v>
      </c>
      <c r="BL104" s="44">
        <f t="shared" si="81"/>
        <v>0</v>
      </c>
      <c r="BM104" s="44">
        <f t="shared" si="81"/>
        <v>0</v>
      </c>
      <c r="BN104" s="44">
        <f t="shared" si="81"/>
        <v>0</v>
      </c>
      <c r="BO104" s="44">
        <f t="shared" si="81"/>
        <v>0</v>
      </c>
      <c r="BP104" s="44">
        <f t="shared" si="81"/>
        <v>0</v>
      </c>
      <c r="BQ104" s="44">
        <f t="shared" si="81"/>
        <v>0</v>
      </c>
      <c r="BR104" s="44">
        <f t="shared" si="81"/>
        <v>0</v>
      </c>
      <c r="BS104" s="44">
        <f t="shared" si="81"/>
        <v>0</v>
      </c>
      <c r="BT104" s="44">
        <f t="shared" si="81"/>
        <v>0</v>
      </c>
      <c r="BU104" s="44">
        <f t="shared" si="81"/>
        <v>0</v>
      </c>
      <c r="BV104" s="44">
        <f t="shared" si="81"/>
        <v>0</v>
      </c>
      <c r="BW104" s="44">
        <f t="shared" si="81"/>
        <v>0</v>
      </c>
      <c r="BX104" s="44">
        <f t="shared" si="82"/>
        <v>0</v>
      </c>
      <c r="BY104" s="44">
        <f t="shared" si="82"/>
        <v>0</v>
      </c>
      <c r="BZ104" s="44">
        <f t="shared" si="82"/>
        <v>0</v>
      </c>
      <c r="CA104" s="44">
        <f t="shared" si="82"/>
        <v>0</v>
      </c>
      <c r="CB104" s="44">
        <f t="shared" si="82"/>
        <v>0</v>
      </c>
      <c r="CC104" s="44">
        <f t="shared" si="82"/>
        <v>0</v>
      </c>
      <c r="CD104" s="44">
        <f t="shared" si="82"/>
        <v>8000000</v>
      </c>
      <c r="CE104" s="46">
        <f t="shared" si="44"/>
        <v>3.7529951951399736E-2</v>
      </c>
      <c r="CF104" s="44">
        <f t="shared" si="45"/>
        <v>6648900</v>
      </c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>
        <f>+'[5]Acuerdo PLAN INVERSIÓN 2021'!$H$6682</f>
        <v>6648900</v>
      </c>
      <c r="DD104" s="46">
        <f t="shared" si="56"/>
        <v>0.96247004804860026</v>
      </c>
      <c r="DE104" s="44">
        <f t="shared" si="83"/>
        <v>170513597</v>
      </c>
      <c r="DF104" s="44">
        <f t="shared" si="84"/>
        <v>0</v>
      </c>
      <c r="DG104" s="44">
        <f t="shared" si="84"/>
        <v>122303390</v>
      </c>
      <c r="DH104" s="44">
        <f t="shared" si="84"/>
        <v>0</v>
      </c>
      <c r="DI104" s="44">
        <f t="shared" si="84"/>
        <v>35810000</v>
      </c>
      <c r="DJ104" s="44">
        <f t="shared" si="84"/>
        <v>0</v>
      </c>
      <c r="DK104" s="44">
        <f t="shared" si="84"/>
        <v>0</v>
      </c>
      <c r="DL104" s="44">
        <f t="shared" si="84"/>
        <v>0</v>
      </c>
      <c r="DM104" s="44">
        <f t="shared" si="84"/>
        <v>0</v>
      </c>
      <c r="DN104" s="44">
        <f t="shared" si="84"/>
        <v>0</v>
      </c>
      <c r="DO104" s="44">
        <f t="shared" si="84"/>
        <v>0</v>
      </c>
      <c r="DP104" s="44">
        <f t="shared" si="84"/>
        <v>0</v>
      </c>
      <c r="DQ104" s="44">
        <f t="shared" si="84"/>
        <v>0</v>
      </c>
      <c r="DR104" s="44">
        <f t="shared" si="84"/>
        <v>0</v>
      </c>
      <c r="DS104" s="44">
        <f t="shared" si="84"/>
        <v>0</v>
      </c>
      <c r="DT104" s="44">
        <f t="shared" si="84"/>
        <v>0</v>
      </c>
      <c r="DU104" s="44">
        <f t="shared" si="84"/>
        <v>0</v>
      </c>
      <c r="DV104" s="44">
        <f t="shared" si="85"/>
        <v>0</v>
      </c>
      <c r="DW104" s="44">
        <f t="shared" si="85"/>
        <v>0</v>
      </c>
      <c r="DX104" s="44">
        <f t="shared" si="85"/>
        <v>0</v>
      </c>
      <c r="DY104" s="44">
        <f t="shared" si="85"/>
        <v>0</v>
      </c>
      <c r="DZ104" s="44">
        <f t="shared" si="85"/>
        <v>0</v>
      </c>
      <c r="EA104" s="44">
        <f t="shared" si="85"/>
        <v>0</v>
      </c>
      <c r="EB104" s="44">
        <f t="shared" si="85"/>
        <v>12400207</v>
      </c>
      <c r="EE104" s="75">
        <f t="shared" si="86"/>
        <v>177162497</v>
      </c>
      <c r="EF104" s="75">
        <f t="shared" si="72"/>
        <v>6648900</v>
      </c>
    </row>
    <row r="105" spans="1:137" ht="30" hidden="1" customHeight="1" x14ac:dyDescent="0.25">
      <c r="A105" s="50"/>
      <c r="B105" s="121"/>
      <c r="C105" s="83" t="s">
        <v>305</v>
      </c>
      <c r="D105" s="41" t="s">
        <v>306</v>
      </c>
      <c r="E105" s="122">
        <v>211</v>
      </c>
      <c r="F105" s="43" t="s">
        <v>240</v>
      </c>
      <c r="G105" s="44">
        <f t="shared" si="80"/>
        <v>537612538</v>
      </c>
      <c r="H105" s="45">
        <v>300000000</v>
      </c>
      <c r="I105" s="45">
        <f t="shared" si="87"/>
        <v>-237612538</v>
      </c>
      <c r="J105" s="78"/>
      <c r="K105" s="44"/>
      <c r="L105" s="44"/>
      <c r="M105" s="44">
        <v>137412037</v>
      </c>
      <c r="N105" s="44"/>
      <c r="O105" s="44"/>
      <c r="P105" s="44"/>
      <c r="Q105" s="44"/>
      <c r="R105" s="44"/>
      <c r="S105" s="44"/>
      <c r="T105" s="44"/>
      <c r="U105" s="44">
        <f>10000000+300000000-35031397</f>
        <v>274968603</v>
      </c>
      <c r="V105" s="44"/>
      <c r="W105" s="44"/>
      <c r="X105" s="44"/>
      <c r="Y105" s="44"/>
      <c r="Z105" s="44"/>
      <c r="AA105" s="44"/>
      <c r="AB105" s="44"/>
      <c r="AC105" s="44">
        <f>124281898</f>
        <v>124281898</v>
      </c>
      <c r="AD105" s="44"/>
      <c r="AE105" s="44"/>
      <c r="AF105" s="44">
        <f>950000</f>
        <v>950000</v>
      </c>
      <c r="AG105" s="46">
        <f t="shared" si="55"/>
        <v>0.16270165745278806</v>
      </c>
      <c r="AH105" s="44">
        <f t="shared" si="40"/>
        <v>87470451</v>
      </c>
      <c r="AI105" s="44"/>
      <c r="AJ105" s="44"/>
      <c r="AK105" s="44"/>
      <c r="AL105" s="44">
        <f>+'[5]Acuerdo PLAN INVERSIÓN 2021'!$M$6697</f>
        <v>36556762</v>
      </c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>
        <f>+'[6]Acuerdo PLAN INVERSIÓN 2021'!$AB$5742</f>
        <v>49963689</v>
      </c>
      <c r="BC105" s="44"/>
      <c r="BD105" s="44"/>
      <c r="BE105" s="44">
        <f>+'[3]Acuerdo PLAN INVERSIÓN 2021'!$AF$3425</f>
        <v>950000</v>
      </c>
      <c r="BF105" s="46">
        <f t="shared" si="57"/>
        <v>0.83729834254721192</v>
      </c>
      <c r="BG105" s="44">
        <f t="shared" si="64"/>
        <v>450142087</v>
      </c>
      <c r="BH105" s="44">
        <f t="shared" si="81"/>
        <v>0</v>
      </c>
      <c r="BI105" s="44">
        <f t="shared" si="81"/>
        <v>0</v>
      </c>
      <c r="BJ105" s="44">
        <f t="shared" si="81"/>
        <v>0</v>
      </c>
      <c r="BK105" s="44">
        <f t="shared" si="81"/>
        <v>100855275</v>
      </c>
      <c r="BL105" s="44">
        <f t="shared" si="81"/>
        <v>0</v>
      </c>
      <c r="BM105" s="44">
        <f t="shared" si="81"/>
        <v>0</v>
      </c>
      <c r="BN105" s="44">
        <f t="shared" si="81"/>
        <v>0</v>
      </c>
      <c r="BO105" s="44">
        <f t="shared" si="81"/>
        <v>0</v>
      </c>
      <c r="BP105" s="44">
        <f t="shared" si="81"/>
        <v>0</v>
      </c>
      <c r="BQ105" s="44">
        <f t="shared" si="81"/>
        <v>0</v>
      </c>
      <c r="BR105" s="44">
        <f t="shared" si="81"/>
        <v>0</v>
      </c>
      <c r="BS105" s="44">
        <f t="shared" si="81"/>
        <v>274968603</v>
      </c>
      <c r="BT105" s="44">
        <f t="shared" si="81"/>
        <v>0</v>
      </c>
      <c r="BU105" s="44">
        <f t="shared" si="81"/>
        <v>0</v>
      </c>
      <c r="BV105" s="44">
        <f t="shared" si="81"/>
        <v>0</v>
      </c>
      <c r="BW105" s="44">
        <f t="shared" si="81"/>
        <v>0</v>
      </c>
      <c r="BX105" s="44">
        <f t="shared" si="82"/>
        <v>0</v>
      </c>
      <c r="BY105" s="44">
        <f t="shared" si="82"/>
        <v>0</v>
      </c>
      <c r="BZ105" s="44">
        <f t="shared" si="82"/>
        <v>0</v>
      </c>
      <c r="CA105" s="44">
        <f t="shared" si="82"/>
        <v>74318209</v>
      </c>
      <c r="CB105" s="44">
        <f t="shared" si="82"/>
        <v>0</v>
      </c>
      <c r="CC105" s="44">
        <f t="shared" si="82"/>
        <v>0</v>
      </c>
      <c r="CD105" s="44">
        <f t="shared" si="82"/>
        <v>0</v>
      </c>
      <c r="CE105" s="46">
        <f t="shared" si="44"/>
        <v>0</v>
      </c>
      <c r="CF105" s="44">
        <f t="shared" si="45"/>
        <v>0</v>
      </c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6">
        <f t="shared" si="56"/>
        <v>1</v>
      </c>
      <c r="DE105" s="44">
        <f t="shared" si="83"/>
        <v>537612538</v>
      </c>
      <c r="DF105" s="44">
        <f t="shared" si="84"/>
        <v>0</v>
      </c>
      <c r="DG105" s="44">
        <f t="shared" si="84"/>
        <v>0</v>
      </c>
      <c r="DH105" s="44">
        <f t="shared" si="84"/>
        <v>0</v>
      </c>
      <c r="DI105" s="44">
        <f t="shared" si="84"/>
        <v>137412037</v>
      </c>
      <c r="DJ105" s="44">
        <f t="shared" si="84"/>
        <v>0</v>
      </c>
      <c r="DK105" s="44">
        <f t="shared" si="84"/>
        <v>0</v>
      </c>
      <c r="DL105" s="44">
        <f t="shared" si="84"/>
        <v>0</v>
      </c>
      <c r="DM105" s="44">
        <f t="shared" si="84"/>
        <v>0</v>
      </c>
      <c r="DN105" s="44">
        <f t="shared" si="84"/>
        <v>0</v>
      </c>
      <c r="DO105" s="44">
        <f t="shared" si="84"/>
        <v>0</v>
      </c>
      <c r="DP105" s="44">
        <f t="shared" si="84"/>
        <v>0</v>
      </c>
      <c r="DQ105" s="44">
        <f t="shared" si="84"/>
        <v>274968603</v>
      </c>
      <c r="DR105" s="44">
        <f t="shared" si="84"/>
        <v>0</v>
      </c>
      <c r="DS105" s="44">
        <f t="shared" si="84"/>
        <v>0</v>
      </c>
      <c r="DT105" s="44">
        <f t="shared" si="84"/>
        <v>0</v>
      </c>
      <c r="DU105" s="44">
        <f t="shared" si="84"/>
        <v>0</v>
      </c>
      <c r="DV105" s="44">
        <f t="shared" si="85"/>
        <v>0</v>
      </c>
      <c r="DW105" s="44">
        <f t="shared" si="85"/>
        <v>0</v>
      </c>
      <c r="DX105" s="44">
        <f t="shared" si="85"/>
        <v>0</v>
      </c>
      <c r="DY105" s="44">
        <f t="shared" si="85"/>
        <v>124281898</v>
      </c>
      <c r="DZ105" s="44">
        <f t="shared" si="85"/>
        <v>0</v>
      </c>
      <c r="EA105" s="44">
        <f t="shared" si="85"/>
        <v>0</v>
      </c>
      <c r="EB105" s="44">
        <f t="shared" si="85"/>
        <v>950000</v>
      </c>
      <c r="ED105" s="202" t="s">
        <v>389</v>
      </c>
      <c r="EE105" s="75">
        <f t="shared" si="86"/>
        <v>537612538</v>
      </c>
      <c r="EF105" s="75">
        <f t="shared" si="72"/>
        <v>0</v>
      </c>
    </row>
    <row r="106" spans="1:137" ht="28.15" hidden="1" customHeight="1" x14ac:dyDescent="0.25">
      <c r="A106" s="88"/>
      <c r="B106" s="121"/>
      <c r="C106" s="83" t="s">
        <v>307</v>
      </c>
      <c r="D106" s="41" t="s">
        <v>308</v>
      </c>
      <c r="E106" s="122">
        <v>211</v>
      </c>
      <c r="F106" s="43" t="s">
        <v>240</v>
      </c>
      <c r="G106" s="44">
        <f t="shared" si="80"/>
        <v>2783401112</v>
      </c>
      <c r="H106" s="45">
        <v>1500000000</v>
      </c>
      <c r="I106" s="45">
        <f t="shared" si="87"/>
        <v>-1283401112</v>
      </c>
      <c r="J106" s="44"/>
      <c r="K106" s="44"/>
      <c r="L106" s="44"/>
      <c r="M106" s="44">
        <f>10128485+2676241230</f>
        <v>2686369715</v>
      </c>
      <c r="N106" s="44"/>
      <c r="O106" s="44"/>
      <c r="P106" s="44"/>
      <c r="Q106" s="44">
        <f>100000000-65000000</f>
        <v>35000000</v>
      </c>
      <c r="R106" s="44"/>
      <c r="S106" s="44"/>
      <c r="T106" s="44"/>
      <c r="U106" s="44">
        <f>20000000+35031397</f>
        <v>55031397</v>
      </c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>
        <f>7000000</f>
        <v>7000000</v>
      </c>
      <c r="AG106" s="46">
        <f t="shared" si="55"/>
        <v>0.2421185588719417</v>
      </c>
      <c r="AH106" s="44">
        <f t="shared" si="40"/>
        <v>673913066</v>
      </c>
      <c r="AI106" s="44"/>
      <c r="AJ106" s="44"/>
      <c r="AK106" s="44"/>
      <c r="AL106" s="44">
        <f>+'[5]Acuerdo PLAN INVERSIÓN 2021'!$M$6718</f>
        <v>611933066</v>
      </c>
      <c r="AM106" s="44"/>
      <c r="AN106" s="44"/>
      <c r="AO106" s="44"/>
      <c r="AP106" s="44"/>
      <c r="AQ106" s="44"/>
      <c r="AR106" s="44"/>
      <c r="AS106" s="44"/>
      <c r="AT106" s="44">
        <f>+'[1]Acuerdo PLAN INVERSIÓN 2021'!$O$4807</f>
        <v>54980000</v>
      </c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>
        <f>+'[1]Acuerdo PLAN INVERSIÓN 2021'!$AF$4807</f>
        <v>7000000</v>
      </c>
      <c r="BF106" s="46">
        <f t="shared" si="57"/>
        <v>0.75788144112805833</v>
      </c>
      <c r="BG106" s="44">
        <f t="shared" si="64"/>
        <v>2109488046</v>
      </c>
      <c r="BH106" s="44">
        <f t="shared" si="81"/>
        <v>0</v>
      </c>
      <c r="BI106" s="44">
        <f t="shared" si="81"/>
        <v>0</v>
      </c>
      <c r="BJ106" s="44">
        <f t="shared" si="81"/>
        <v>0</v>
      </c>
      <c r="BK106" s="44">
        <f t="shared" si="81"/>
        <v>2074436649</v>
      </c>
      <c r="BL106" s="44">
        <f t="shared" si="81"/>
        <v>0</v>
      </c>
      <c r="BM106" s="44">
        <f t="shared" si="81"/>
        <v>0</v>
      </c>
      <c r="BN106" s="44">
        <f t="shared" si="81"/>
        <v>0</v>
      </c>
      <c r="BO106" s="44">
        <f t="shared" si="81"/>
        <v>35000000</v>
      </c>
      <c r="BP106" s="44">
        <f t="shared" si="81"/>
        <v>0</v>
      </c>
      <c r="BQ106" s="44">
        <f t="shared" si="81"/>
        <v>0</v>
      </c>
      <c r="BR106" s="44">
        <f t="shared" si="81"/>
        <v>0</v>
      </c>
      <c r="BS106" s="44">
        <f t="shared" si="81"/>
        <v>51397</v>
      </c>
      <c r="BT106" s="44">
        <f t="shared" si="81"/>
        <v>0</v>
      </c>
      <c r="BU106" s="44">
        <f t="shared" si="81"/>
        <v>0</v>
      </c>
      <c r="BV106" s="44">
        <f t="shared" si="81"/>
        <v>0</v>
      </c>
      <c r="BW106" s="44">
        <f t="shared" si="81"/>
        <v>0</v>
      </c>
      <c r="BX106" s="44">
        <f t="shared" si="82"/>
        <v>0</v>
      </c>
      <c r="BY106" s="44">
        <f t="shared" si="82"/>
        <v>0</v>
      </c>
      <c r="BZ106" s="44">
        <f t="shared" si="82"/>
        <v>0</v>
      </c>
      <c r="CA106" s="44">
        <f t="shared" si="82"/>
        <v>0</v>
      </c>
      <c r="CB106" s="44">
        <f t="shared" si="82"/>
        <v>0</v>
      </c>
      <c r="CC106" s="44">
        <f t="shared" si="82"/>
        <v>0</v>
      </c>
      <c r="CD106" s="44">
        <f t="shared" si="82"/>
        <v>0</v>
      </c>
      <c r="CE106" s="46">
        <f t="shared" si="44"/>
        <v>5.9362209164770932E-2</v>
      </c>
      <c r="CF106" s="44">
        <f t="shared" si="45"/>
        <v>165228839</v>
      </c>
      <c r="CG106" s="44"/>
      <c r="CH106" s="44"/>
      <c r="CI106" s="44"/>
      <c r="CJ106" s="44">
        <f>+'[5]Acuerdo PLAN INVERSIÓN 2021'!$H$6719+'[5]Acuerdo PLAN INVERSIÓN 2021'!$H$6735</f>
        <v>106204882</v>
      </c>
      <c r="CK106" s="44"/>
      <c r="CL106" s="44"/>
      <c r="CM106" s="44"/>
      <c r="CN106" s="44"/>
      <c r="CO106" s="44"/>
      <c r="CP106" s="44"/>
      <c r="CQ106" s="44"/>
      <c r="CR106" s="44">
        <f>+'[6]Acuerdo PLAN INVERSIÓN 2021'!$H$5766</f>
        <v>54980000</v>
      </c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>
        <f>+'[6]Acuerdo PLAN INVERSIÓN 2021'!$H$5763+'[5]Acuerdo PLAN INVERSIÓN 2021'!$H$6728</f>
        <v>4043957</v>
      </c>
      <c r="DD106" s="46">
        <f t="shared" si="56"/>
        <v>0.94063779083522903</v>
      </c>
      <c r="DE106" s="44">
        <f t="shared" si="83"/>
        <v>2618172273</v>
      </c>
      <c r="DF106" s="44">
        <f t="shared" si="84"/>
        <v>0</v>
      </c>
      <c r="DG106" s="44">
        <f t="shared" si="84"/>
        <v>0</v>
      </c>
      <c r="DH106" s="44">
        <f t="shared" si="84"/>
        <v>0</v>
      </c>
      <c r="DI106" s="44">
        <f t="shared" si="84"/>
        <v>2580164833</v>
      </c>
      <c r="DJ106" s="44">
        <f t="shared" si="84"/>
        <v>0</v>
      </c>
      <c r="DK106" s="44">
        <f t="shared" si="84"/>
        <v>0</v>
      </c>
      <c r="DL106" s="44">
        <f t="shared" si="84"/>
        <v>0</v>
      </c>
      <c r="DM106" s="44">
        <f t="shared" si="84"/>
        <v>35000000</v>
      </c>
      <c r="DN106" s="44">
        <f t="shared" si="84"/>
        <v>0</v>
      </c>
      <c r="DO106" s="44">
        <f t="shared" si="84"/>
        <v>0</v>
      </c>
      <c r="DP106" s="44">
        <f t="shared" si="84"/>
        <v>0</v>
      </c>
      <c r="DQ106" s="44">
        <f t="shared" si="84"/>
        <v>51397</v>
      </c>
      <c r="DR106" s="44">
        <f t="shared" si="84"/>
        <v>0</v>
      </c>
      <c r="DS106" s="44">
        <f t="shared" si="84"/>
        <v>0</v>
      </c>
      <c r="DT106" s="44">
        <f t="shared" si="84"/>
        <v>0</v>
      </c>
      <c r="DU106" s="44">
        <f t="shared" si="84"/>
        <v>0</v>
      </c>
      <c r="DV106" s="44">
        <f t="shared" si="85"/>
        <v>0</v>
      </c>
      <c r="DW106" s="44">
        <f t="shared" si="85"/>
        <v>0</v>
      </c>
      <c r="DX106" s="44">
        <f t="shared" si="85"/>
        <v>0</v>
      </c>
      <c r="DY106" s="44">
        <f t="shared" si="85"/>
        <v>0</v>
      </c>
      <c r="DZ106" s="44">
        <f t="shared" si="85"/>
        <v>0</v>
      </c>
      <c r="EA106" s="44">
        <f t="shared" si="85"/>
        <v>0</v>
      </c>
      <c r="EB106" s="44">
        <f t="shared" si="85"/>
        <v>2956043</v>
      </c>
      <c r="ED106" s="202" t="s">
        <v>389</v>
      </c>
      <c r="EE106" s="75">
        <f t="shared" si="86"/>
        <v>2783401112</v>
      </c>
      <c r="EF106" s="75">
        <f t="shared" si="72"/>
        <v>165228839</v>
      </c>
    </row>
    <row r="107" spans="1:137" ht="30" hidden="1" customHeight="1" x14ac:dyDescent="0.25">
      <c r="A107" s="88"/>
      <c r="B107" s="121"/>
      <c r="C107" s="83" t="s">
        <v>309</v>
      </c>
      <c r="D107" s="41" t="s">
        <v>310</v>
      </c>
      <c r="E107" s="122">
        <v>211</v>
      </c>
      <c r="F107" s="43" t="s">
        <v>240</v>
      </c>
      <c r="G107" s="44">
        <f t="shared" si="80"/>
        <v>299954928</v>
      </c>
      <c r="H107" s="45">
        <v>340000000</v>
      </c>
      <c r="I107" s="45">
        <f t="shared" si="87"/>
        <v>40045072</v>
      </c>
      <c r="J107" s="78"/>
      <c r="K107" s="44">
        <f>43951027+30000000</f>
        <v>73951027</v>
      </c>
      <c r="L107" s="44"/>
      <c r="M107" s="44">
        <f>27680700+178323201</f>
        <v>206003901</v>
      </c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f>20000000</f>
        <v>20000000</v>
      </c>
      <c r="AG107" s="46">
        <f t="shared" si="55"/>
        <v>0.29205395818667795</v>
      </c>
      <c r="AH107" s="44">
        <f t="shared" si="40"/>
        <v>87603024</v>
      </c>
      <c r="AI107" s="44"/>
      <c r="AJ107" s="44"/>
      <c r="AK107" s="44"/>
      <c r="AL107" s="44">
        <f>+'[6]Acuerdo PLAN INVERSIÓN 2021'!$M$5785+'[5]Acuerdo PLAN INVERSIÓN 2021'!$G$6777+'[5]Acuerdo PLAN INVERSIÓN 2021'!$G$6779</f>
        <v>67603024</v>
      </c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>
        <f>+'[6]Acuerdo PLAN INVERSIÓN 2021'!$AF$5785</f>
        <v>20000000</v>
      </c>
      <c r="BF107" s="46">
        <f t="shared" si="57"/>
        <v>0.7079460418133221</v>
      </c>
      <c r="BG107" s="44">
        <f t="shared" si="64"/>
        <v>212351904</v>
      </c>
      <c r="BH107" s="44">
        <f t="shared" si="81"/>
        <v>0</v>
      </c>
      <c r="BI107" s="44">
        <f t="shared" si="81"/>
        <v>73951027</v>
      </c>
      <c r="BJ107" s="44">
        <f t="shared" si="81"/>
        <v>0</v>
      </c>
      <c r="BK107" s="44">
        <f t="shared" si="81"/>
        <v>138400877</v>
      </c>
      <c r="BL107" s="44">
        <f t="shared" si="81"/>
        <v>0</v>
      </c>
      <c r="BM107" s="44">
        <f t="shared" si="81"/>
        <v>0</v>
      </c>
      <c r="BN107" s="44">
        <f t="shared" si="81"/>
        <v>0</v>
      </c>
      <c r="BO107" s="44">
        <f t="shared" si="81"/>
        <v>0</v>
      </c>
      <c r="BP107" s="44">
        <f t="shared" si="81"/>
        <v>0</v>
      </c>
      <c r="BQ107" s="44">
        <f t="shared" si="81"/>
        <v>0</v>
      </c>
      <c r="BR107" s="44">
        <f t="shared" si="81"/>
        <v>0</v>
      </c>
      <c r="BS107" s="44">
        <f t="shared" si="81"/>
        <v>0</v>
      </c>
      <c r="BT107" s="44">
        <f t="shared" si="81"/>
        <v>0</v>
      </c>
      <c r="BU107" s="44">
        <f t="shared" si="81"/>
        <v>0</v>
      </c>
      <c r="BV107" s="44">
        <f t="shared" si="81"/>
        <v>0</v>
      </c>
      <c r="BW107" s="44">
        <f t="shared" si="81"/>
        <v>0</v>
      </c>
      <c r="BX107" s="44">
        <f t="shared" si="82"/>
        <v>0</v>
      </c>
      <c r="BY107" s="44">
        <f t="shared" si="82"/>
        <v>0</v>
      </c>
      <c r="BZ107" s="44">
        <f t="shared" si="82"/>
        <v>0</v>
      </c>
      <c r="CA107" s="44">
        <f t="shared" si="82"/>
        <v>0</v>
      </c>
      <c r="CB107" s="44">
        <f t="shared" si="82"/>
        <v>0</v>
      </c>
      <c r="CC107" s="44">
        <f t="shared" si="82"/>
        <v>0</v>
      </c>
      <c r="CD107" s="44">
        <f t="shared" si="82"/>
        <v>0</v>
      </c>
      <c r="CE107" s="46">
        <f t="shared" si="44"/>
        <v>0.15279002517338205</v>
      </c>
      <c r="CF107" s="44">
        <f t="shared" si="45"/>
        <v>45830121</v>
      </c>
      <c r="CG107" s="44"/>
      <c r="CH107" s="44"/>
      <c r="CI107" s="44"/>
      <c r="CJ107" s="44">
        <f>+'[3]Acuerdo PLAN INVERSIÓN 2021'!$H$3437</f>
        <v>27680444</v>
      </c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>
        <f>+'[6]Acuerdo PLAN INVERSIÓN 2021'!$H$5792+'[5]Acuerdo PLAN INVERSIÓN 2021'!$H$6769</f>
        <v>18149677</v>
      </c>
      <c r="DD107" s="46">
        <f t="shared" si="56"/>
        <v>0.84720997482661797</v>
      </c>
      <c r="DE107" s="44">
        <f t="shared" si="83"/>
        <v>254124807</v>
      </c>
      <c r="DF107" s="44">
        <f t="shared" si="84"/>
        <v>0</v>
      </c>
      <c r="DG107" s="44">
        <f t="shared" si="84"/>
        <v>73951027</v>
      </c>
      <c r="DH107" s="44">
        <f t="shared" si="84"/>
        <v>0</v>
      </c>
      <c r="DI107" s="44">
        <f t="shared" si="84"/>
        <v>178323457</v>
      </c>
      <c r="DJ107" s="44">
        <f t="shared" si="84"/>
        <v>0</v>
      </c>
      <c r="DK107" s="44">
        <f t="shared" si="84"/>
        <v>0</v>
      </c>
      <c r="DL107" s="44">
        <f t="shared" si="84"/>
        <v>0</v>
      </c>
      <c r="DM107" s="44">
        <f t="shared" si="84"/>
        <v>0</v>
      </c>
      <c r="DN107" s="44">
        <f t="shared" si="84"/>
        <v>0</v>
      </c>
      <c r="DO107" s="44">
        <f t="shared" si="84"/>
        <v>0</v>
      </c>
      <c r="DP107" s="44">
        <f t="shared" si="84"/>
        <v>0</v>
      </c>
      <c r="DQ107" s="44">
        <f t="shared" si="84"/>
        <v>0</v>
      </c>
      <c r="DR107" s="44">
        <f t="shared" si="84"/>
        <v>0</v>
      </c>
      <c r="DS107" s="44">
        <f t="shared" si="84"/>
        <v>0</v>
      </c>
      <c r="DT107" s="44">
        <f t="shared" si="84"/>
        <v>0</v>
      </c>
      <c r="DU107" s="44">
        <f t="shared" si="84"/>
        <v>0</v>
      </c>
      <c r="DV107" s="44">
        <f t="shared" si="85"/>
        <v>0</v>
      </c>
      <c r="DW107" s="44">
        <f t="shared" si="85"/>
        <v>0</v>
      </c>
      <c r="DX107" s="44">
        <f t="shared" si="85"/>
        <v>0</v>
      </c>
      <c r="DY107" s="44">
        <f t="shared" si="85"/>
        <v>0</v>
      </c>
      <c r="DZ107" s="44">
        <f t="shared" si="85"/>
        <v>0</v>
      </c>
      <c r="EA107" s="44">
        <f t="shared" si="85"/>
        <v>0</v>
      </c>
      <c r="EB107" s="44">
        <f t="shared" si="85"/>
        <v>1850323</v>
      </c>
      <c r="EE107" s="75">
        <f t="shared" si="86"/>
        <v>299954928</v>
      </c>
      <c r="EF107" s="75">
        <f t="shared" si="72"/>
        <v>45830121</v>
      </c>
    </row>
    <row r="108" spans="1:137" ht="30.6" hidden="1" customHeight="1" x14ac:dyDescent="0.25">
      <c r="A108" s="50" t="s">
        <v>311</v>
      </c>
      <c r="B108" s="121"/>
      <c r="C108" s="83" t="s">
        <v>312</v>
      </c>
      <c r="D108" s="41" t="s">
        <v>313</v>
      </c>
      <c r="E108" s="122">
        <v>211</v>
      </c>
      <c r="F108" s="43" t="s">
        <v>240</v>
      </c>
      <c r="G108" s="44">
        <f t="shared" si="80"/>
        <v>519100131</v>
      </c>
      <c r="H108" s="45">
        <v>270000000</v>
      </c>
      <c r="I108" s="45">
        <f t="shared" si="87"/>
        <v>-249100131</v>
      </c>
      <c r="J108" s="44"/>
      <c r="K108" s="44"/>
      <c r="L108" s="44"/>
      <c r="M108" s="44">
        <f>972070+498128061</f>
        <v>499100131</v>
      </c>
      <c r="N108" s="44"/>
      <c r="O108" s="44"/>
      <c r="P108" s="44"/>
      <c r="Q108" s="44">
        <f>50000000-50000000</f>
        <v>0</v>
      </c>
      <c r="R108" s="44"/>
      <c r="S108" s="44"/>
      <c r="T108" s="44"/>
      <c r="U108" s="44">
        <v>20000000</v>
      </c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6">
        <f t="shared" si="55"/>
        <v>0.54441650487658999</v>
      </c>
      <c r="AH108" s="44">
        <f t="shared" si="40"/>
        <v>282606679</v>
      </c>
      <c r="AI108" s="44"/>
      <c r="AJ108" s="44"/>
      <c r="AK108" s="44"/>
      <c r="AL108" s="44">
        <f>+'[5]Acuerdo PLAN INVERSIÓN 2021'!$M$6783</f>
        <v>282606679</v>
      </c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6">
        <f t="shared" si="57"/>
        <v>0.45558349512341001</v>
      </c>
      <c r="BG108" s="44">
        <f t="shared" si="64"/>
        <v>236493452</v>
      </c>
      <c r="BH108" s="44">
        <f t="shared" si="81"/>
        <v>0</v>
      </c>
      <c r="BI108" s="44">
        <f t="shared" si="81"/>
        <v>0</v>
      </c>
      <c r="BJ108" s="44">
        <f t="shared" si="81"/>
        <v>0</v>
      </c>
      <c r="BK108" s="44">
        <f t="shared" si="81"/>
        <v>216493452</v>
      </c>
      <c r="BL108" s="44">
        <f t="shared" si="81"/>
        <v>0</v>
      </c>
      <c r="BM108" s="44">
        <f t="shared" si="81"/>
        <v>0</v>
      </c>
      <c r="BN108" s="44">
        <f t="shared" si="81"/>
        <v>0</v>
      </c>
      <c r="BO108" s="44">
        <f t="shared" si="81"/>
        <v>0</v>
      </c>
      <c r="BP108" s="44">
        <f t="shared" si="81"/>
        <v>0</v>
      </c>
      <c r="BQ108" s="44">
        <f t="shared" si="81"/>
        <v>0</v>
      </c>
      <c r="BR108" s="44">
        <f t="shared" si="81"/>
        <v>0</v>
      </c>
      <c r="BS108" s="44">
        <f t="shared" si="81"/>
        <v>20000000</v>
      </c>
      <c r="BT108" s="44">
        <f t="shared" si="81"/>
        <v>0</v>
      </c>
      <c r="BU108" s="44">
        <f t="shared" si="81"/>
        <v>0</v>
      </c>
      <c r="BV108" s="44">
        <f t="shared" si="81"/>
        <v>0</v>
      </c>
      <c r="BW108" s="44">
        <f t="shared" si="81"/>
        <v>0</v>
      </c>
      <c r="BX108" s="44">
        <f t="shared" si="82"/>
        <v>0</v>
      </c>
      <c r="BY108" s="44">
        <f t="shared" si="82"/>
        <v>0</v>
      </c>
      <c r="BZ108" s="44">
        <f t="shared" si="82"/>
        <v>0</v>
      </c>
      <c r="CA108" s="44">
        <f t="shared" si="82"/>
        <v>0</v>
      </c>
      <c r="CB108" s="44">
        <f t="shared" si="82"/>
        <v>0</v>
      </c>
      <c r="CC108" s="44">
        <f t="shared" si="82"/>
        <v>0</v>
      </c>
      <c r="CD108" s="44">
        <f t="shared" si="82"/>
        <v>0</v>
      </c>
      <c r="CE108" s="46">
        <f t="shared" si="44"/>
        <v>2.305036983317579E-2</v>
      </c>
      <c r="CF108" s="44">
        <f t="shared" si="45"/>
        <v>11965450</v>
      </c>
      <c r="CG108" s="44"/>
      <c r="CH108" s="44"/>
      <c r="CI108" s="44"/>
      <c r="CJ108" s="44">
        <f>+'[5]Acuerdo PLAN INVERSIÓN 2021'!$H$6781</f>
        <v>11965450</v>
      </c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6">
        <f t="shared" si="56"/>
        <v>0.97694963016682423</v>
      </c>
      <c r="DE108" s="44">
        <f t="shared" si="83"/>
        <v>507134681</v>
      </c>
      <c r="DF108" s="44">
        <f t="shared" si="84"/>
        <v>0</v>
      </c>
      <c r="DG108" s="44">
        <f t="shared" si="84"/>
        <v>0</v>
      </c>
      <c r="DH108" s="44">
        <f t="shared" si="84"/>
        <v>0</v>
      </c>
      <c r="DI108" s="44">
        <f t="shared" si="84"/>
        <v>487134681</v>
      </c>
      <c r="DJ108" s="44">
        <f t="shared" si="84"/>
        <v>0</v>
      </c>
      <c r="DK108" s="44">
        <f t="shared" si="84"/>
        <v>0</v>
      </c>
      <c r="DL108" s="44">
        <f t="shared" si="84"/>
        <v>0</v>
      </c>
      <c r="DM108" s="44">
        <f t="shared" si="84"/>
        <v>0</v>
      </c>
      <c r="DN108" s="44">
        <f t="shared" si="84"/>
        <v>0</v>
      </c>
      <c r="DO108" s="44">
        <f t="shared" si="84"/>
        <v>0</v>
      </c>
      <c r="DP108" s="44">
        <f t="shared" si="84"/>
        <v>0</v>
      </c>
      <c r="DQ108" s="44">
        <f t="shared" si="84"/>
        <v>20000000</v>
      </c>
      <c r="DR108" s="44">
        <f t="shared" si="84"/>
        <v>0</v>
      </c>
      <c r="DS108" s="44">
        <f t="shared" si="84"/>
        <v>0</v>
      </c>
      <c r="DT108" s="44">
        <f t="shared" si="84"/>
        <v>0</v>
      </c>
      <c r="DU108" s="44">
        <f t="shared" si="84"/>
        <v>0</v>
      </c>
      <c r="DV108" s="44">
        <f t="shared" si="85"/>
        <v>0</v>
      </c>
      <c r="DW108" s="44">
        <f t="shared" si="85"/>
        <v>0</v>
      </c>
      <c r="DX108" s="44">
        <f t="shared" si="85"/>
        <v>0</v>
      </c>
      <c r="DY108" s="44">
        <f t="shared" si="85"/>
        <v>0</v>
      </c>
      <c r="DZ108" s="44">
        <f t="shared" si="85"/>
        <v>0</v>
      </c>
      <c r="EA108" s="44">
        <f t="shared" si="85"/>
        <v>0</v>
      </c>
      <c r="EB108" s="44">
        <f t="shared" si="85"/>
        <v>0</v>
      </c>
      <c r="ED108" s="125"/>
      <c r="EE108" s="75">
        <f t="shared" si="86"/>
        <v>519100131</v>
      </c>
      <c r="EF108" s="75">
        <f t="shared" si="72"/>
        <v>11965450</v>
      </c>
    </row>
    <row r="109" spans="1:137" ht="47.25" hidden="1" customHeight="1" x14ac:dyDescent="0.25">
      <c r="A109" s="50"/>
      <c r="B109" s="121"/>
      <c r="C109" s="83" t="s">
        <v>314</v>
      </c>
      <c r="D109" s="41" t="s">
        <v>315</v>
      </c>
      <c r="E109" s="122">
        <v>211</v>
      </c>
      <c r="F109" s="43" t="s">
        <v>316</v>
      </c>
      <c r="G109" s="44">
        <f t="shared" si="80"/>
        <v>459373195</v>
      </c>
      <c r="H109" s="45">
        <v>1955000000</v>
      </c>
      <c r="I109" s="45">
        <f t="shared" si="87"/>
        <v>1495626805</v>
      </c>
      <c r="J109" s="44">
        <v>228749467</v>
      </c>
      <c r="K109" s="44">
        <f>50000000-50000000</f>
        <v>0</v>
      </c>
      <c r="L109" s="44"/>
      <c r="M109" s="44">
        <v>32862151</v>
      </c>
      <c r="N109" s="44"/>
      <c r="O109" s="44"/>
      <c r="P109" s="44"/>
      <c r="Q109" s="44"/>
      <c r="R109" s="44"/>
      <c r="S109" s="44">
        <v>100000000</v>
      </c>
      <c r="T109" s="44"/>
      <c r="U109" s="44"/>
      <c r="V109" s="44"/>
      <c r="W109" s="44"/>
      <c r="X109" s="44"/>
      <c r="Y109" s="44"/>
      <c r="Z109" s="44"/>
      <c r="AA109" s="44">
        <v>56261577</v>
      </c>
      <c r="AB109" s="44"/>
      <c r="AC109" s="44"/>
      <c r="AD109" s="44"/>
      <c r="AE109" s="44"/>
      <c r="AF109" s="44">
        <f>40000000+20000000+1500000+10800000-20000000-10800000</f>
        <v>41500000</v>
      </c>
      <c r="AG109" s="46">
        <f t="shared" si="55"/>
        <v>4.68029049888294E-2</v>
      </c>
      <c r="AH109" s="44">
        <f t="shared" si="40"/>
        <v>21500000</v>
      </c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>
        <f>+'[1]Acuerdo PLAN INVERSIÓN 2021'!$AF$4836</f>
        <v>21500000</v>
      </c>
      <c r="BF109" s="46">
        <f t="shared" si="57"/>
        <v>0.95319709501117056</v>
      </c>
      <c r="BG109" s="44">
        <f t="shared" si="64"/>
        <v>437873195</v>
      </c>
      <c r="BH109" s="44">
        <f t="shared" si="81"/>
        <v>228749467</v>
      </c>
      <c r="BI109" s="44">
        <f t="shared" si="81"/>
        <v>0</v>
      </c>
      <c r="BJ109" s="44">
        <f t="shared" si="81"/>
        <v>0</v>
      </c>
      <c r="BK109" s="44">
        <f t="shared" si="81"/>
        <v>32862151</v>
      </c>
      <c r="BL109" s="44">
        <f t="shared" si="81"/>
        <v>0</v>
      </c>
      <c r="BM109" s="44">
        <f t="shared" si="81"/>
        <v>0</v>
      </c>
      <c r="BN109" s="44">
        <f t="shared" si="81"/>
        <v>0</v>
      </c>
      <c r="BO109" s="44">
        <f t="shared" si="81"/>
        <v>0</v>
      </c>
      <c r="BP109" s="44">
        <f t="shared" si="81"/>
        <v>0</v>
      </c>
      <c r="BQ109" s="44">
        <f t="shared" si="81"/>
        <v>100000000</v>
      </c>
      <c r="BR109" s="44">
        <f t="shared" si="81"/>
        <v>0</v>
      </c>
      <c r="BS109" s="44">
        <f t="shared" si="81"/>
        <v>0</v>
      </c>
      <c r="BT109" s="44">
        <f t="shared" si="81"/>
        <v>0</v>
      </c>
      <c r="BU109" s="44">
        <f t="shared" si="81"/>
        <v>0</v>
      </c>
      <c r="BV109" s="44">
        <f t="shared" si="81"/>
        <v>0</v>
      </c>
      <c r="BW109" s="44">
        <f t="shared" si="81"/>
        <v>0</v>
      </c>
      <c r="BX109" s="44">
        <f t="shared" si="82"/>
        <v>0</v>
      </c>
      <c r="BY109" s="44">
        <f t="shared" si="82"/>
        <v>56261577</v>
      </c>
      <c r="BZ109" s="44">
        <f t="shared" si="82"/>
        <v>0</v>
      </c>
      <c r="CA109" s="44">
        <f t="shared" si="82"/>
        <v>0</v>
      </c>
      <c r="CB109" s="44">
        <f t="shared" si="82"/>
        <v>0</v>
      </c>
      <c r="CC109" s="44">
        <f t="shared" si="82"/>
        <v>0</v>
      </c>
      <c r="CD109" s="44">
        <f t="shared" si="82"/>
        <v>20000000</v>
      </c>
      <c r="CE109" s="46">
        <f t="shared" si="44"/>
        <v>3.1347061946006669E-3</v>
      </c>
      <c r="CF109" s="44">
        <f t="shared" si="45"/>
        <v>1440000</v>
      </c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>
        <f>+'[5]Acuerdo PLAN INVERSIÓN 2021'!$H$6793</f>
        <v>1440000</v>
      </c>
      <c r="DD109" s="46">
        <f t="shared" si="56"/>
        <v>0.99686529380539934</v>
      </c>
      <c r="DE109" s="44">
        <f t="shared" si="83"/>
        <v>457933195</v>
      </c>
      <c r="DF109" s="44">
        <f t="shared" si="84"/>
        <v>228749467</v>
      </c>
      <c r="DG109" s="44">
        <f t="shared" si="84"/>
        <v>0</v>
      </c>
      <c r="DH109" s="44">
        <f t="shared" si="84"/>
        <v>0</v>
      </c>
      <c r="DI109" s="44">
        <f t="shared" si="84"/>
        <v>32862151</v>
      </c>
      <c r="DJ109" s="44">
        <f t="shared" si="84"/>
        <v>0</v>
      </c>
      <c r="DK109" s="44">
        <f t="shared" si="84"/>
        <v>0</v>
      </c>
      <c r="DL109" s="44">
        <f t="shared" si="84"/>
        <v>0</v>
      </c>
      <c r="DM109" s="44">
        <f t="shared" si="84"/>
        <v>0</v>
      </c>
      <c r="DN109" s="44">
        <f t="shared" si="84"/>
        <v>0</v>
      </c>
      <c r="DO109" s="44">
        <f t="shared" si="84"/>
        <v>100000000</v>
      </c>
      <c r="DP109" s="44">
        <f t="shared" si="84"/>
        <v>0</v>
      </c>
      <c r="DQ109" s="44">
        <f t="shared" si="84"/>
        <v>0</v>
      </c>
      <c r="DR109" s="44">
        <f t="shared" si="84"/>
        <v>0</v>
      </c>
      <c r="DS109" s="44">
        <f t="shared" si="84"/>
        <v>0</v>
      </c>
      <c r="DT109" s="44">
        <f t="shared" si="84"/>
        <v>0</v>
      </c>
      <c r="DU109" s="44">
        <f t="shared" si="84"/>
        <v>0</v>
      </c>
      <c r="DV109" s="44">
        <f t="shared" si="85"/>
        <v>0</v>
      </c>
      <c r="DW109" s="44">
        <f t="shared" si="85"/>
        <v>56261577</v>
      </c>
      <c r="DX109" s="44">
        <f t="shared" si="85"/>
        <v>0</v>
      </c>
      <c r="DY109" s="44">
        <f t="shared" si="85"/>
        <v>0</v>
      </c>
      <c r="DZ109" s="44">
        <f t="shared" si="85"/>
        <v>0</v>
      </c>
      <c r="EA109" s="44">
        <f t="shared" si="85"/>
        <v>0</v>
      </c>
      <c r="EB109" s="44">
        <f t="shared" si="85"/>
        <v>40060000</v>
      </c>
      <c r="EE109" s="75">
        <f t="shared" si="86"/>
        <v>459373195</v>
      </c>
      <c r="EF109" s="75">
        <f t="shared" si="72"/>
        <v>1440000</v>
      </c>
    </row>
    <row r="110" spans="1:137" ht="20.45" hidden="1" customHeight="1" x14ac:dyDescent="0.25">
      <c r="A110" s="50"/>
      <c r="B110" s="121"/>
      <c r="C110" s="83" t="s">
        <v>317</v>
      </c>
      <c r="D110" s="41" t="s">
        <v>318</v>
      </c>
      <c r="E110" s="122">
        <v>211</v>
      </c>
      <c r="F110" s="43" t="s">
        <v>240</v>
      </c>
      <c r="G110" s="44">
        <f t="shared" si="80"/>
        <v>0</v>
      </c>
      <c r="H110" s="45">
        <v>100000000</v>
      </c>
      <c r="I110" s="45">
        <f t="shared" si="87"/>
        <v>100000000</v>
      </c>
      <c r="J110" s="78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6" t="e">
        <f t="shared" si="55"/>
        <v>#DIV/0!</v>
      </c>
      <c r="AH110" s="44">
        <f t="shared" si="40"/>
        <v>0</v>
      </c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6" t="e">
        <f t="shared" si="57"/>
        <v>#DIV/0!</v>
      </c>
      <c r="BG110" s="44">
        <f t="shared" si="64"/>
        <v>0</v>
      </c>
      <c r="BH110" s="44">
        <f t="shared" si="81"/>
        <v>0</v>
      </c>
      <c r="BI110" s="44">
        <f t="shared" si="81"/>
        <v>0</v>
      </c>
      <c r="BJ110" s="44">
        <f t="shared" si="81"/>
        <v>0</v>
      </c>
      <c r="BK110" s="44">
        <f t="shared" si="81"/>
        <v>0</v>
      </c>
      <c r="BL110" s="44">
        <f t="shared" si="81"/>
        <v>0</v>
      </c>
      <c r="BM110" s="44">
        <f t="shared" si="81"/>
        <v>0</v>
      </c>
      <c r="BN110" s="44">
        <f t="shared" si="81"/>
        <v>0</v>
      </c>
      <c r="BO110" s="44">
        <f t="shared" si="81"/>
        <v>0</v>
      </c>
      <c r="BP110" s="44">
        <f t="shared" si="81"/>
        <v>0</v>
      </c>
      <c r="BQ110" s="44">
        <f t="shared" si="81"/>
        <v>0</v>
      </c>
      <c r="BR110" s="44">
        <f t="shared" si="81"/>
        <v>0</v>
      </c>
      <c r="BS110" s="44">
        <f t="shared" si="81"/>
        <v>0</v>
      </c>
      <c r="BT110" s="44">
        <f t="shared" si="81"/>
        <v>0</v>
      </c>
      <c r="BU110" s="44">
        <f t="shared" si="81"/>
        <v>0</v>
      </c>
      <c r="BV110" s="44">
        <f t="shared" si="81"/>
        <v>0</v>
      </c>
      <c r="BW110" s="44">
        <f t="shared" si="81"/>
        <v>0</v>
      </c>
      <c r="BX110" s="44">
        <f t="shared" si="82"/>
        <v>0</v>
      </c>
      <c r="BY110" s="44">
        <f t="shared" si="82"/>
        <v>0</v>
      </c>
      <c r="BZ110" s="44">
        <f t="shared" si="82"/>
        <v>0</v>
      </c>
      <c r="CA110" s="44">
        <f t="shared" si="82"/>
        <v>0</v>
      </c>
      <c r="CB110" s="44">
        <f t="shared" si="82"/>
        <v>0</v>
      </c>
      <c r="CC110" s="44">
        <f t="shared" si="82"/>
        <v>0</v>
      </c>
      <c r="CD110" s="44">
        <f t="shared" si="82"/>
        <v>0</v>
      </c>
      <c r="CE110" s="46" t="e">
        <f t="shared" si="44"/>
        <v>#DIV/0!</v>
      </c>
      <c r="CF110" s="44">
        <f t="shared" si="45"/>
        <v>0</v>
      </c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6" t="e">
        <f t="shared" si="56"/>
        <v>#DIV/0!</v>
      </c>
      <c r="DE110" s="44">
        <f t="shared" si="83"/>
        <v>0</v>
      </c>
      <c r="DF110" s="44">
        <f t="shared" si="84"/>
        <v>0</v>
      </c>
      <c r="DG110" s="44">
        <f t="shared" si="84"/>
        <v>0</v>
      </c>
      <c r="DH110" s="44">
        <f t="shared" si="84"/>
        <v>0</v>
      </c>
      <c r="DI110" s="44">
        <f t="shared" si="84"/>
        <v>0</v>
      </c>
      <c r="DJ110" s="44">
        <f t="shared" si="84"/>
        <v>0</v>
      </c>
      <c r="DK110" s="44">
        <f t="shared" si="84"/>
        <v>0</v>
      </c>
      <c r="DL110" s="44">
        <f t="shared" si="84"/>
        <v>0</v>
      </c>
      <c r="DM110" s="44">
        <f t="shared" si="84"/>
        <v>0</v>
      </c>
      <c r="DN110" s="44">
        <f t="shared" si="84"/>
        <v>0</v>
      </c>
      <c r="DO110" s="44">
        <f t="shared" si="84"/>
        <v>0</v>
      </c>
      <c r="DP110" s="44">
        <f t="shared" si="84"/>
        <v>0</v>
      </c>
      <c r="DQ110" s="44">
        <f t="shared" si="84"/>
        <v>0</v>
      </c>
      <c r="DR110" s="44">
        <f t="shared" si="84"/>
        <v>0</v>
      </c>
      <c r="DS110" s="44">
        <f t="shared" si="84"/>
        <v>0</v>
      </c>
      <c r="DT110" s="44">
        <f t="shared" si="84"/>
        <v>0</v>
      </c>
      <c r="DU110" s="44">
        <f t="shared" si="84"/>
        <v>0</v>
      </c>
      <c r="DV110" s="44">
        <f t="shared" si="85"/>
        <v>0</v>
      </c>
      <c r="DW110" s="44">
        <f t="shared" si="85"/>
        <v>0</v>
      </c>
      <c r="DX110" s="44">
        <f t="shared" si="85"/>
        <v>0</v>
      </c>
      <c r="DY110" s="44">
        <f t="shared" si="85"/>
        <v>0</v>
      </c>
      <c r="DZ110" s="44">
        <f t="shared" si="85"/>
        <v>0</v>
      </c>
      <c r="EA110" s="44">
        <f t="shared" si="85"/>
        <v>0</v>
      </c>
      <c r="EB110" s="44">
        <f t="shared" si="85"/>
        <v>0</v>
      </c>
      <c r="EE110" s="75">
        <f t="shared" si="86"/>
        <v>0</v>
      </c>
      <c r="EF110" s="75">
        <f t="shared" si="72"/>
        <v>0</v>
      </c>
    </row>
    <row r="111" spans="1:137" ht="42.75" hidden="1" customHeight="1" x14ac:dyDescent="0.25">
      <c r="A111" s="50"/>
      <c r="B111" s="121"/>
      <c r="C111" s="83" t="s">
        <v>319</v>
      </c>
      <c r="D111" s="41" t="s">
        <v>320</v>
      </c>
      <c r="E111" s="122">
        <v>211</v>
      </c>
      <c r="F111" s="43" t="s">
        <v>321</v>
      </c>
      <c r="G111" s="44">
        <f t="shared" si="80"/>
        <v>230168649</v>
      </c>
      <c r="H111" s="45">
        <v>504000000</v>
      </c>
      <c r="I111" s="45">
        <f t="shared" si="87"/>
        <v>273831351</v>
      </c>
      <c r="J111" s="78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>
        <f>71771849+4999400+20000000+5000000+50000000+10800000+20000000+10000000+5000000+32597400</f>
        <v>230168649</v>
      </c>
      <c r="AG111" s="46">
        <f t="shared" si="55"/>
        <v>0.94833853762594744</v>
      </c>
      <c r="AH111" s="44">
        <f t="shared" si="40"/>
        <v>218277800</v>
      </c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>
        <f>+'[6]Acuerdo PLAN INVERSIÓN 2021'!$AF$5822+'[5]Acuerdo PLAN INVERSIÓN 2021'!$G$6847</f>
        <v>218277800</v>
      </c>
      <c r="BF111" s="46">
        <f t="shared" si="57"/>
        <v>5.1661462374052558E-2</v>
      </c>
      <c r="BG111" s="44">
        <f t="shared" si="64"/>
        <v>11890849</v>
      </c>
      <c r="BH111" s="44">
        <f t="shared" si="81"/>
        <v>0</v>
      </c>
      <c r="BI111" s="44">
        <f t="shared" si="81"/>
        <v>0</v>
      </c>
      <c r="BJ111" s="44">
        <f t="shared" si="81"/>
        <v>0</v>
      </c>
      <c r="BK111" s="44">
        <f t="shared" si="81"/>
        <v>0</v>
      </c>
      <c r="BL111" s="44">
        <f t="shared" si="81"/>
        <v>0</v>
      </c>
      <c r="BM111" s="44">
        <f t="shared" si="81"/>
        <v>0</v>
      </c>
      <c r="BN111" s="44">
        <f t="shared" si="81"/>
        <v>0</v>
      </c>
      <c r="BO111" s="44">
        <f t="shared" si="81"/>
        <v>0</v>
      </c>
      <c r="BP111" s="44">
        <f t="shared" si="81"/>
        <v>0</v>
      </c>
      <c r="BQ111" s="44">
        <f t="shared" si="81"/>
        <v>0</v>
      </c>
      <c r="BR111" s="44">
        <f t="shared" si="81"/>
        <v>0</v>
      </c>
      <c r="BS111" s="44">
        <f t="shared" si="81"/>
        <v>0</v>
      </c>
      <c r="BT111" s="44">
        <f t="shared" si="81"/>
        <v>0</v>
      </c>
      <c r="BU111" s="44">
        <f t="shared" si="81"/>
        <v>0</v>
      </c>
      <c r="BV111" s="44">
        <f t="shared" si="81"/>
        <v>0</v>
      </c>
      <c r="BW111" s="44">
        <f t="shared" si="81"/>
        <v>0</v>
      </c>
      <c r="BX111" s="44">
        <f t="shared" si="82"/>
        <v>0</v>
      </c>
      <c r="BY111" s="44">
        <f t="shared" si="82"/>
        <v>0</v>
      </c>
      <c r="BZ111" s="44">
        <f t="shared" si="82"/>
        <v>0</v>
      </c>
      <c r="CA111" s="44">
        <f t="shared" si="82"/>
        <v>0</v>
      </c>
      <c r="CB111" s="44">
        <f t="shared" si="82"/>
        <v>0</v>
      </c>
      <c r="CC111" s="44">
        <f t="shared" si="82"/>
        <v>0</v>
      </c>
      <c r="CD111" s="44">
        <f t="shared" si="82"/>
        <v>11890849</v>
      </c>
      <c r="CE111" s="46">
        <f t="shared" si="44"/>
        <v>0.27843063022888054</v>
      </c>
      <c r="CF111" s="44">
        <f t="shared" si="45"/>
        <v>64086002</v>
      </c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>
        <f>+'[5]Acuerdo PLAN INVERSIÓN 2021'!$H$6808</f>
        <v>64086002</v>
      </c>
      <c r="DD111" s="46">
        <f t="shared" si="56"/>
        <v>0.72156936977111941</v>
      </c>
      <c r="DE111" s="44">
        <f t="shared" si="83"/>
        <v>166082647</v>
      </c>
      <c r="DF111" s="44">
        <f t="shared" si="84"/>
        <v>0</v>
      </c>
      <c r="DG111" s="44">
        <f t="shared" si="84"/>
        <v>0</v>
      </c>
      <c r="DH111" s="44">
        <f t="shared" si="84"/>
        <v>0</v>
      </c>
      <c r="DI111" s="44">
        <f t="shared" si="84"/>
        <v>0</v>
      </c>
      <c r="DJ111" s="44">
        <f t="shared" si="84"/>
        <v>0</v>
      </c>
      <c r="DK111" s="44">
        <f t="shared" si="84"/>
        <v>0</v>
      </c>
      <c r="DL111" s="44">
        <f t="shared" si="84"/>
        <v>0</v>
      </c>
      <c r="DM111" s="44">
        <f t="shared" si="84"/>
        <v>0</v>
      </c>
      <c r="DN111" s="44">
        <f t="shared" si="84"/>
        <v>0</v>
      </c>
      <c r="DO111" s="44">
        <f t="shared" si="84"/>
        <v>0</v>
      </c>
      <c r="DP111" s="44">
        <f t="shared" si="84"/>
        <v>0</v>
      </c>
      <c r="DQ111" s="44">
        <f t="shared" si="84"/>
        <v>0</v>
      </c>
      <c r="DR111" s="44">
        <f t="shared" si="84"/>
        <v>0</v>
      </c>
      <c r="DS111" s="44">
        <f t="shared" si="84"/>
        <v>0</v>
      </c>
      <c r="DT111" s="44">
        <f t="shared" si="84"/>
        <v>0</v>
      </c>
      <c r="DU111" s="44">
        <f t="shared" si="84"/>
        <v>0</v>
      </c>
      <c r="DV111" s="44">
        <f t="shared" si="85"/>
        <v>0</v>
      </c>
      <c r="DW111" s="44">
        <f t="shared" si="85"/>
        <v>0</v>
      </c>
      <c r="DX111" s="44">
        <f t="shared" si="85"/>
        <v>0</v>
      </c>
      <c r="DY111" s="44">
        <f t="shared" si="85"/>
        <v>0</v>
      </c>
      <c r="DZ111" s="44">
        <f t="shared" si="85"/>
        <v>0</v>
      </c>
      <c r="EA111" s="44">
        <f t="shared" si="85"/>
        <v>0</v>
      </c>
      <c r="EB111" s="44">
        <f t="shared" si="85"/>
        <v>166082647</v>
      </c>
      <c r="ED111" s="125"/>
      <c r="EE111" s="75">
        <f t="shared" si="86"/>
        <v>230168649</v>
      </c>
      <c r="EF111" s="75">
        <f t="shared" si="72"/>
        <v>64086002</v>
      </c>
    </row>
    <row r="112" spans="1:137" ht="25.15" hidden="1" customHeight="1" x14ac:dyDescent="0.25">
      <c r="A112" s="50"/>
      <c r="B112" s="121"/>
      <c r="C112" s="83" t="s">
        <v>322</v>
      </c>
      <c r="D112" s="41" t="s">
        <v>323</v>
      </c>
      <c r="E112" s="122">
        <v>211</v>
      </c>
      <c r="F112" s="43" t="s">
        <v>324</v>
      </c>
      <c r="G112" s="44">
        <f t="shared" si="80"/>
        <v>17171220</v>
      </c>
      <c r="H112" s="45">
        <v>252000000</v>
      </c>
      <c r="I112" s="45">
        <f t="shared" si="87"/>
        <v>234828780</v>
      </c>
      <c r="J112" s="78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>
        <f>6103602+11067618</f>
        <v>17171220</v>
      </c>
      <c r="AG112" s="46">
        <f t="shared" si="55"/>
        <v>1</v>
      </c>
      <c r="AH112" s="44">
        <f t="shared" si="40"/>
        <v>17171220</v>
      </c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>
        <f>+'[6]Acuerdo PLAN INVERSIÓN 2021'!$AF$5859</f>
        <v>17171220</v>
      </c>
      <c r="BF112" s="46">
        <f t="shared" si="57"/>
        <v>0</v>
      </c>
      <c r="BG112" s="44">
        <f t="shared" si="64"/>
        <v>0</v>
      </c>
      <c r="BH112" s="44">
        <f t="shared" si="81"/>
        <v>0</v>
      </c>
      <c r="BI112" s="44">
        <f t="shared" si="81"/>
        <v>0</v>
      </c>
      <c r="BJ112" s="44">
        <f t="shared" si="81"/>
        <v>0</v>
      </c>
      <c r="BK112" s="44">
        <f t="shared" si="81"/>
        <v>0</v>
      </c>
      <c r="BL112" s="44">
        <f t="shared" si="81"/>
        <v>0</v>
      </c>
      <c r="BM112" s="44">
        <f t="shared" si="81"/>
        <v>0</v>
      </c>
      <c r="BN112" s="44">
        <f t="shared" si="81"/>
        <v>0</v>
      </c>
      <c r="BO112" s="44">
        <f t="shared" si="81"/>
        <v>0</v>
      </c>
      <c r="BP112" s="44">
        <f t="shared" si="81"/>
        <v>0</v>
      </c>
      <c r="BQ112" s="44">
        <f t="shared" si="81"/>
        <v>0</v>
      </c>
      <c r="BR112" s="44">
        <f t="shared" si="81"/>
        <v>0</v>
      </c>
      <c r="BS112" s="44">
        <f t="shared" si="81"/>
        <v>0</v>
      </c>
      <c r="BT112" s="44">
        <f t="shared" si="81"/>
        <v>0</v>
      </c>
      <c r="BU112" s="44">
        <f t="shared" si="81"/>
        <v>0</v>
      </c>
      <c r="BV112" s="44">
        <f t="shared" si="81"/>
        <v>0</v>
      </c>
      <c r="BW112" s="44">
        <f t="shared" si="81"/>
        <v>0</v>
      </c>
      <c r="BX112" s="44">
        <f t="shared" si="82"/>
        <v>0</v>
      </c>
      <c r="BY112" s="44">
        <f t="shared" si="82"/>
        <v>0</v>
      </c>
      <c r="BZ112" s="44">
        <f t="shared" si="82"/>
        <v>0</v>
      </c>
      <c r="CA112" s="44">
        <f t="shared" si="82"/>
        <v>0</v>
      </c>
      <c r="CB112" s="44">
        <f t="shared" si="82"/>
        <v>0</v>
      </c>
      <c r="CC112" s="44">
        <f t="shared" si="82"/>
        <v>0</v>
      </c>
      <c r="CD112" s="44">
        <f t="shared" si="82"/>
        <v>0</v>
      </c>
      <c r="CE112" s="46">
        <f t="shared" si="44"/>
        <v>0.35462768516156684</v>
      </c>
      <c r="CF112" s="44">
        <f t="shared" si="45"/>
        <v>6089390</v>
      </c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>
        <f>+'[5]Acuerdo PLAN INVERSIÓN 2021'!$H$6849</f>
        <v>6089390</v>
      </c>
      <c r="DD112" s="46">
        <f t="shared" si="56"/>
        <v>0.64537231483843316</v>
      </c>
      <c r="DE112" s="44">
        <f t="shared" si="83"/>
        <v>11081830</v>
      </c>
      <c r="DF112" s="44">
        <f t="shared" si="84"/>
        <v>0</v>
      </c>
      <c r="DG112" s="44">
        <f t="shared" si="84"/>
        <v>0</v>
      </c>
      <c r="DH112" s="44">
        <f t="shared" si="84"/>
        <v>0</v>
      </c>
      <c r="DI112" s="44">
        <f t="shared" si="84"/>
        <v>0</v>
      </c>
      <c r="DJ112" s="44">
        <f t="shared" si="84"/>
        <v>0</v>
      </c>
      <c r="DK112" s="44">
        <f t="shared" si="84"/>
        <v>0</v>
      </c>
      <c r="DL112" s="44">
        <f t="shared" si="84"/>
        <v>0</v>
      </c>
      <c r="DM112" s="44">
        <f t="shared" si="84"/>
        <v>0</v>
      </c>
      <c r="DN112" s="44">
        <f t="shared" si="84"/>
        <v>0</v>
      </c>
      <c r="DO112" s="44">
        <f t="shared" si="84"/>
        <v>0</v>
      </c>
      <c r="DP112" s="44">
        <f t="shared" si="84"/>
        <v>0</v>
      </c>
      <c r="DQ112" s="44">
        <f t="shared" si="84"/>
        <v>0</v>
      </c>
      <c r="DR112" s="44">
        <f t="shared" si="84"/>
        <v>0</v>
      </c>
      <c r="DS112" s="44">
        <f t="shared" si="84"/>
        <v>0</v>
      </c>
      <c r="DT112" s="44">
        <f t="shared" si="84"/>
        <v>0</v>
      </c>
      <c r="DU112" s="44">
        <f t="shared" si="84"/>
        <v>0</v>
      </c>
      <c r="DV112" s="44">
        <f t="shared" si="85"/>
        <v>0</v>
      </c>
      <c r="DW112" s="44">
        <f t="shared" si="85"/>
        <v>0</v>
      </c>
      <c r="DX112" s="44">
        <f t="shared" si="85"/>
        <v>0</v>
      </c>
      <c r="DY112" s="44">
        <f t="shared" si="85"/>
        <v>0</v>
      </c>
      <c r="DZ112" s="44">
        <f t="shared" si="85"/>
        <v>0</v>
      </c>
      <c r="EA112" s="44">
        <f t="shared" si="85"/>
        <v>0</v>
      </c>
      <c r="EB112" s="44">
        <f t="shared" si="85"/>
        <v>11081830</v>
      </c>
      <c r="EE112" s="75">
        <f t="shared" si="86"/>
        <v>17171220</v>
      </c>
      <c r="EF112" s="75">
        <f t="shared" si="72"/>
        <v>6089390</v>
      </c>
    </row>
    <row r="113" spans="1:136" ht="84" hidden="1" customHeight="1" x14ac:dyDescent="0.25">
      <c r="A113" s="50"/>
      <c r="B113" s="112" t="s">
        <v>325</v>
      </c>
      <c r="C113" s="83" t="s">
        <v>326</v>
      </c>
      <c r="D113" s="41" t="s">
        <v>327</v>
      </c>
      <c r="E113" s="122">
        <v>211</v>
      </c>
      <c r="F113" s="43" t="s">
        <v>328</v>
      </c>
      <c r="G113" s="44">
        <f t="shared" si="80"/>
        <v>646898232</v>
      </c>
      <c r="H113" s="45">
        <v>246000000</v>
      </c>
      <c r="I113" s="45">
        <f t="shared" si="87"/>
        <v>-400898232</v>
      </c>
      <c r="J113" s="78"/>
      <c r="K113" s="44"/>
      <c r="L113" s="44"/>
      <c r="M113" s="44"/>
      <c r="N113" s="44"/>
      <c r="O113" s="44"/>
      <c r="P113" s="44">
        <v>112423035</v>
      </c>
      <c r="Q113" s="44"/>
      <c r="R113" s="44"/>
      <c r="S113" s="44">
        <f>50000000+50000000</f>
        <v>100000000</v>
      </c>
      <c r="T113" s="44"/>
      <c r="U113" s="44"/>
      <c r="V113" s="44">
        <v>47237313</v>
      </c>
      <c r="W113" s="44"/>
      <c r="X113" s="44">
        <v>30000000</v>
      </c>
      <c r="Y113" s="44"/>
      <c r="Z113" s="44"/>
      <c r="AA113" s="44"/>
      <c r="AB113" s="44"/>
      <c r="AC113" s="44"/>
      <c r="AD113" s="44"/>
      <c r="AE113" s="44"/>
      <c r="AF113" s="44">
        <f>160277522+47889326+17926897+26397851+4612278+25750000+1696075+44929933+19283216+8474786</f>
        <v>357237884</v>
      </c>
      <c r="AG113" s="46">
        <f t="shared" si="55"/>
        <v>0.63801557738683079</v>
      </c>
      <c r="AH113" s="44">
        <f t="shared" si="40"/>
        <v>412731149</v>
      </c>
      <c r="AI113" s="44"/>
      <c r="AJ113" s="44"/>
      <c r="AK113" s="44"/>
      <c r="AL113" s="44"/>
      <c r="AM113" s="44"/>
      <c r="AN113" s="44"/>
      <c r="AO113" s="44"/>
      <c r="AP113" s="44"/>
      <c r="AQ113" s="44"/>
      <c r="AR113" s="44">
        <f>+'[9]Acuerdo PLAN INVERSIÓN 2021'!$U$1962</f>
        <v>50000000</v>
      </c>
      <c r="AS113" s="44"/>
      <c r="AT113" s="44"/>
      <c r="AU113" s="44">
        <f>+'[9]Acuerdo PLAN INVERSIÓN 2021'!$P$1962</f>
        <v>47237313</v>
      </c>
      <c r="AV113" s="44"/>
      <c r="AW113" s="44">
        <f>+'[9]Acuerdo PLAN INVERSIÓN 2021'!$Q$1962</f>
        <v>30000000</v>
      </c>
      <c r="AX113" s="44"/>
      <c r="AY113" s="44"/>
      <c r="AZ113" s="44"/>
      <c r="BA113" s="44"/>
      <c r="BB113" s="44"/>
      <c r="BC113" s="44"/>
      <c r="BD113" s="44"/>
      <c r="BE113" s="44">
        <f>+'[6]Acuerdo PLAN INVERSIÓN 2021'!$AF$5879+'[5]Acuerdo PLAN INVERSIÓN 2021'!$G$6911</f>
        <v>285493836</v>
      </c>
      <c r="BF113" s="46">
        <f t="shared" si="57"/>
        <v>0.36198442261316921</v>
      </c>
      <c r="BG113" s="44">
        <f t="shared" si="64"/>
        <v>234167083</v>
      </c>
      <c r="BH113" s="44">
        <f t="shared" si="81"/>
        <v>0</v>
      </c>
      <c r="BI113" s="44">
        <f t="shared" si="81"/>
        <v>0</v>
      </c>
      <c r="BJ113" s="44">
        <f t="shared" si="81"/>
        <v>0</v>
      </c>
      <c r="BK113" s="44">
        <f t="shared" si="81"/>
        <v>0</v>
      </c>
      <c r="BL113" s="44">
        <f t="shared" si="81"/>
        <v>0</v>
      </c>
      <c r="BM113" s="44">
        <f t="shared" si="81"/>
        <v>0</v>
      </c>
      <c r="BN113" s="44">
        <f t="shared" si="81"/>
        <v>112423035</v>
      </c>
      <c r="BO113" s="44">
        <f t="shared" si="81"/>
        <v>0</v>
      </c>
      <c r="BP113" s="44">
        <f t="shared" si="81"/>
        <v>0</v>
      </c>
      <c r="BQ113" s="44">
        <f t="shared" si="81"/>
        <v>50000000</v>
      </c>
      <c r="BR113" s="44">
        <f t="shared" si="81"/>
        <v>0</v>
      </c>
      <c r="BS113" s="44">
        <f t="shared" si="81"/>
        <v>0</v>
      </c>
      <c r="BT113" s="44">
        <f t="shared" si="81"/>
        <v>0</v>
      </c>
      <c r="BU113" s="44">
        <f t="shared" si="81"/>
        <v>0</v>
      </c>
      <c r="BV113" s="44">
        <f t="shared" si="81"/>
        <v>0</v>
      </c>
      <c r="BW113" s="44">
        <f t="shared" ref="BW113:BW128" si="88">+Y113-AX113</f>
        <v>0</v>
      </c>
      <c r="BX113" s="44">
        <f t="shared" si="82"/>
        <v>0</v>
      </c>
      <c r="BY113" s="44">
        <f t="shared" si="82"/>
        <v>0</v>
      </c>
      <c r="BZ113" s="44">
        <f t="shared" si="82"/>
        <v>0</v>
      </c>
      <c r="CA113" s="44">
        <f t="shared" si="82"/>
        <v>0</v>
      </c>
      <c r="CB113" s="44">
        <f t="shared" si="82"/>
        <v>0</v>
      </c>
      <c r="CC113" s="44">
        <f t="shared" si="82"/>
        <v>0</v>
      </c>
      <c r="CD113" s="44">
        <f t="shared" si="82"/>
        <v>71744048</v>
      </c>
      <c r="CE113" s="46">
        <f t="shared" si="44"/>
        <v>0.21193829449204615</v>
      </c>
      <c r="CF113" s="44">
        <f t="shared" si="45"/>
        <v>137102508</v>
      </c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>
        <f>+'[6]Acuerdo PLAN INVERSIÓN 2021'!$H$5880+'[6]Acuerdo PLAN INVERSIÓN 2021'!$H$5891+'[6]Acuerdo PLAN INVERSIÓN 2021'!$H$5896+'[6]Acuerdo PLAN INVERSIÓN 2021'!$H$5899+'[6]Acuerdo PLAN INVERSIÓN 2021'!$H$5906</f>
        <v>137102508</v>
      </c>
      <c r="DD113" s="46">
        <f t="shared" si="56"/>
        <v>0.78806170550795385</v>
      </c>
      <c r="DE113" s="44">
        <f t="shared" si="83"/>
        <v>509795724</v>
      </c>
      <c r="DF113" s="44">
        <f t="shared" si="84"/>
        <v>0</v>
      </c>
      <c r="DG113" s="44">
        <f t="shared" si="84"/>
        <v>0</v>
      </c>
      <c r="DH113" s="44">
        <f t="shared" si="84"/>
        <v>0</v>
      </c>
      <c r="DI113" s="44">
        <f t="shared" si="84"/>
        <v>0</v>
      </c>
      <c r="DJ113" s="44">
        <f t="shared" si="84"/>
        <v>0</v>
      </c>
      <c r="DK113" s="44">
        <f t="shared" si="84"/>
        <v>0</v>
      </c>
      <c r="DL113" s="44">
        <f t="shared" si="84"/>
        <v>112423035</v>
      </c>
      <c r="DM113" s="44">
        <f t="shared" si="84"/>
        <v>0</v>
      </c>
      <c r="DN113" s="44">
        <f t="shared" si="84"/>
        <v>0</v>
      </c>
      <c r="DO113" s="44">
        <f t="shared" si="84"/>
        <v>100000000</v>
      </c>
      <c r="DP113" s="44">
        <f t="shared" si="84"/>
        <v>0</v>
      </c>
      <c r="DQ113" s="44">
        <f t="shared" si="84"/>
        <v>0</v>
      </c>
      <c r="DR113" s="44">
        <f t="shared" si="84"/>
        <v>47237313</v>
      </c>
      <c r="DS113" s="44">
        <f t="shared" si="84"/>
        <v>0</v>
      </c>
      <c r="DT113" s="44">
        <f t="shared" si="84"/>
        <v>30000000</v>
      </c>
      <c r="DU113" s="44">
        <f t="shared" ref="DU113:DU128" si="89">+Y113-CV113</f>
        <v>0</v>
      </c>
      <c r="DV113" s="44">
        <f t="shared" si="85"/>
        <v>0</v>
      </c>
      <c r="DW113" s="44">
        <f t="shared" si="85"/>
        <v>0</v>
      </c>
      <c r="DX113" s="44">
        <f t="shared" si="85"/>
        <v>0</v>
      </c>
      <c r="DY113" s="44">
        <f t="shared" si="85"/>
        <v>0</v>
      </c>
      <c r="DZ113" s="44">
        <f t="shared" si="85"/>
        <v>0</v>
      </c>
      <c r="EA113" s="44">
        <f t="shared" si="85"/>
        <v>0</v>
      </c>
      <c r="EB113" s="44">
        <f t="shared" si="85"/>
        <v>220135376</v>
      </c>
      <c r="EE113" s="75">
        <f t="shared" si="86"/>
        <v>646898232</v>
      </c>
      <c r="EF113" s="75">
        <f t="shared" si="72"/>
        <v>137102508</v>
      </c>
    </row>
    <row r="114" spans="1:136" ht="41.25" hidden="1" customHeight="1" x14ac:dyDescent="0.25">
      <c r="A114" s="50"/>
      <c r="B114" s="117"/>
      <c r="C114" s="83" t="s">
        <v>329</v>
      </c>
      <c r="D114" s="41" t="s">
        <v>330</v>
      </c>
      <c r="E114" s="122">
        <v>211</v>
      </c>
      <c r="F114" s="43" t="s">
        <v>331</v>
      </c>
      <c r="G114" s="44">
        <f t="shared" si="80"/>
        <v>798382610</v>
      </c>
      <c r="H114" s="45">
        <v>700000000</v>
      </c>
      <c r="I114" s="45">
        <f t="shared" si="87"/>
        <v>-98382610</v>
      </c>
      <c r="J114" s="78"/>
      <c r="K114" s="44"/>
      <c r="L114" s="44"/>
      <c r="M114" s="44"/>
      <c r="N114" s="44"/>
      <c r="O114" s="44"/>
      <c r="P114" s="44">
        <v>100000000</v>
      </c>
      <c r="Q114" s="44"/>
      <c r="R114" s="44"/>
      <c r="S114" s="44"/>
      <c r="T114" s="44"/>
      <c r="U114" s="44">
        <v>270000000</v>
      </c>
      <c r="V114" s="44"/>
      <c r="W114" s="44"/>
      <c r="X114" s="44"/>
      <c r="Y114" s="44"/>
      <c r="Z114" s="44"/>
      <c r="AA114" s="44">
        <v>360316000</v>
      </c>
      <c r="AB114" s="44"/>
      <c r="AC114" s="44"/>
      <c r="AD114" s="44"/>
      <c r="AE114" s="44"/>
      <c r="AF114" s="44">
        <f>17234367+423225+16000000+34409018</f>
        <v>68066610</v>
      </c>
      <c r="AG114" s="46">
        <f t="shared" si="55"/>
        <v>0.94320694059205523</v>
      </c>
      <c r="AH114" s="44">
        <f t="shared" si="40"/>
        <v>753040019</v>
      </c>
      <c r="AI114" s="44"/>
      <c r="AJ114" s="44"/>
      <c r="AK114" s="44"/>
      <c r="AL114" s="44"/>
      <c r="AM114" s="44"/>
      <c r="AN114" s="44"/>
      <c r="AO114" s="44">
        <f>+'[9]Acuerdo PLAN INVERSIÓN 2021'!$Z$1978</f>
        <v>100000000</v>
      </c>
      <c r="AP114" s="44"/>
      <c r="AQ114" s="44"/>
      <c r="AR114" s="44"/>
      <c r="AS114" s="44"/>
      <c r="AT114" s="44">
        <f>+'[9]Acuerdo PLAN INVERSIÓN 2021'!$O$1978</f>
        <v>270000000</v>
      </c>
      <c r="AU114" s="44"/>
      <c r="AV114" s="44"/>
      <c r="AW114" s="44"/>
      <c r="AX114" s="44"/>
      <c r="AY114" s="44"/>
      <c r="AZ114" s="44">
        <f>+'[5]Acuerdo PLAN INVERSIÓN 2021'!$X$6915</f>
        <v>319973409</v>
      </c>
      <c r="BA114" s="44"/>
      <c r="BB114" s="44"/>
      <c r="BC114" s="44"/>
      <c r="BD114" s="44"/>
      <c r="BE114" s="44">
        <f>+'[5]Acuerdo PLAN INVERSIÓN 2021'!$AF$6915</f>
        <v>63066610</v>
      </c>
      <c r="BF114" s="46">
        <f t="shared" si="57"/>
        <v>5.6793059407944768E-2</v>
      </c>
      <c r="BG114" s="44">
        <f t="shared" si="64"/>
        <v>45342591</v>
      </c>
      <c r="BH114" s="44">
        <f t="shared" ref="BH114:BV128" si="90">+J114-AI114</f>
        <v>0</v>
      </c>
      <c r="BI114" s="44">
        <f t="shared" si="90"/>
        <v>0</v>
      </c>
      <c r="BJ114" s="44">
        <f t="shared" si="90"/>
        <v>0</v>
      </c>
      <c r="BK114" s="44">
        <f t="shared" si="90"/>
        <v>0</v>
      </c>
      <c r="BL114" s="44">
        <f t="shared" si="90"/>
        <v>0</v>
      </c>
      <c r="BM114" s="44">
        <f t="shared" si="90"/>
        <v>0</v>
      </c>
      <c r="BN114" s="44">
        <f t="shared" si="90"/>
        <v>0</v>
      </c>
      <c r="BO114" s="44">
        <f t="shared" si="90"/>
        <v>0</v>
      </c>
      <c r="BP114" s="44">
        <f t="shared" si="90"/>
        <v>0</v>
      </c>
      <c r="BQ114" s="44">
        <f t="shared" si="90"/>
        <v>0</v>
      </c>
      <c r="BR114" s="44">
        <f t="shared" si="90"/>
        <v>0</v>
      </c>
      <c r="BS114" s="44">
        <f t="shared" si="90"/>
        <v>0</v>
      </c>
      <c r="BT114" s="44">
        <f t="shared" si="90"/>
        <v>0</v>
      </c>
      <c r="BU114" s="44">
        <f t="shared" si="90"/>
        <v>0</v>
      </c>
      <c r="BV114" s="44">
        <f t="shared" si="90"/>
        <v>0</v>
      </c>
      <c r="BW114" s="44">
        <f t="shared" si="88"/>
        <v>0</v>
      </c>
      <c r="BX114" s="44">
        <f t="shared" si="82"/>
        <v>0</v>
      </c>
      <c r="BY114" s="44">
        <f t="shared" si="82"/>
        <v>40342591</v>
      </c>
      <c r="BZ114" s="44">
        <f t="shared" si="82"/>
        <v>0</v>
      </c>
      <c r="CA114" s="44">
        <f t="shared" si="82"/>
        <v>0</v>
      </c>
      <c r="CB114" s="44">
        <f t="shared" si="82"/>
        <v>0</v>
      </c>
      <c r="CC114" s="44">
        <f t="shared" si="82"/>
        <v>0</v>
      </c>
      <c r="CD114" s="44">
        <f t="shared" si="82"/>
        <v>5000000</v>
      </c>
      <c r="CE114" s="46">
        <f t="shared" si="44"/>
        <v>0.84400736133268228</v>
      </c>
      <c r="CF114" s="44">
        <f t="shared" si="45"/>
        <v>673840800</v>
      </c>
      <c r="CG114" s="44"/>
      <c r="CH114" s="44"/>
      <c r="CI114" s="44"/>
      <c r="CJ114" s="44"/>
      <c r="CK114" s="44"/>
      <c r="CL114" s="44"/>
      <c r="CM114" s="44">
        <f>+'[3]Acuerdo PLAN INVERSIÓN 2021'!$Z$3506</f>
        <v>100000000</v>
      </c>
      <c r="CN114" s="44"/>
      <c r="CO114" s="44"/>
      <c r="CP114" s="44"/>
      <c r="CQ114" s="44"/>
      <c r="CR114" s="44">
        <f>+'[3]Acuerdo PLAN INVERSIÓN 2021'!$O$3506</f>
        <v>270000000</v>
      </c>
      <c r="CS114" s="44"/>
      <c r="CT114" s="44"/>
      <c r="CU114" s="44"/>
      <c r="CV114" s="44"/>
      <c r="CW114" s="44"/>
      <c r="CX114" s="44">
        <f>+'[3]Acuerdo PLAN INVERSIÓN 2021'!$X$3506+'[5]Acuerdo PLAN INVERSIÓN 2021'!$H$6927</f>
        <v>303840800</v>
      </c>
      <c r="CY114" s="44"/>
      <c r="CZ114" s="44"/>
      <c r="DA114" s="44"/>
      <c r="DB114" s="44"/>
      <c r="DC114" s="44"/>
      <c r="DD114" s="46">
        <f t="shared" si="56"/>
        <v>0.15599263866731772</v>
      </c>
      <c r="DE114" s="44">
        <f t="shared" si="83"/>
        <v>124541810</v>
      </c>
      <c r="DF114" s="44">
        <f t="shared" ref="DF114:DT128" si="91">+J114-CG114</f>
        <v>0</v>
      </c>
      <c r="DG114" s="44">
        <f t="shared" si="91"/>
        <v>0</v>
      </c>
      <c r="DH114" s="44">
        <f t="shared" si="91"/>
        <v>0</v>
      </c>
      <c r="DI114" s="44">
        <f t="shared" si="91"/>
        <v>0</v>
      </c>
      <c r="DJ114" s="44">
        <f t="shared" si="91"/>
        <v>0</v>
      </c>
      <c r="DK114" s="44">
        <f t="shared" si="91"/>
        <v>0</v>
      </c>
      <c r="DL114" s="44">
        <f t="shared" si="91"/>
        <v>0</v>
      </c>
      <c r="DM114" s="44">
        <f t="shared" si="91"/>
        <v>0</v>
      </c>
      <c r="DN114" s="44">
        <f t="shared" si="91"/>
        <v>0</v>
      </c>
      <c r="DO114" s="44">
        <f t="shared" si="91"/>
        <v>0</v>
      </c>
      <c r="DP114" s="44">
        <f t="shared" si="91"/>
        <v>0</v>
      </c>
      <c r="DQ114" s="44">
        <f t="shared" si="91"/>
        <v>0</v>
      </c>
      <c r="DR114" s="44">
        <f t="shared" si="91"/>
        <v>0</v>
      </c>
      <c r="DS114" s="44">
        <f t="shared" si="91"/>
        <v>0</v>
      </c>
      <c r="DT114" s="44">
        <f t="shared" si="91"/>
        <v>0</v>
      </c>
      <c r="DU114" s="44">
        <f t="shared" si="89"/>
        <v>0</v>
      </c>
      <c r="DV114" s="44">
        <f t="shared" si="85"/>
        <v>0</v>
      </c>
      <c r="DW114" s="44">
        <f t="shared" si="85"/>
        <v>56475200</v>
      </c>
      <c r="DX114" s="44">
        <f t="shared" si="85"/>
        <v>0</v>
      </c>
      <c r="DY114" s="44">
        <f t="shared" si="85"/>
        <v>0</v>
      </c>
      <c r="DZ114" s="44">
        <f t="shared" si="85"/>
        <v>0</v>
      </c>
      <c r="EA114" s="44">
        <f t="shared" si="85"/>
        <v>0</v>
      </c>
      <c r="EB114" s="44">
        <f t="shared" si="85"/>
        <v>68066610</v>
      </c>
      <c r="EE114" s="75">
        <f t="shared" si="86"/>
        <v>798382610</v>
      </c>
      <c r="EF114" s="75">
        <f t="shared" si="72"/>
        <v>673840800</v>
      </c>
    </row>
    <row r="115" spans="1:136" ht="32.25" hidden="1" customHeight="1" x14ac:dyDescent="0.25">
      <c r="A115" s="50"/>
      <c r="B115" s="77" t="s">
        <v>332</v>
      </c>
      <c r="C115" s="83" t="s">
        <v>333</v>
      </c>
      <c r="D115" s="54" t="s">
        <v>334</v>
      </c>
      <c r="E115" s="122">
        <v>211</v>
      </c>
      <c r="F115" s="43" t="s">
        <v>335</v>
      </c>
      <c r="G115" s="44">
        <f t="shared" si="80"/>
        <v>795694116</v>
      </c>
      <c r="H115" s="45">
        <v>585000000</v>
      </c>
      <c r="I115" s="45">
        <f t="shared" si="87"/>
        <v>-210694116</v>
      </c>
      <c r="J115" s="44">
        <f>226181133+60000000+288480447</f>
        <v>574661580</v>
      </c>
      <c r="K115" s="44">
        <f>60000000-14686000</f>
        <v>45314000</v>
      </c>
      <c r="L115" s="44"/>
      <c r="M115" s="44">
        <v>718536</v>
      </c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>
        <v>150000000</v>
      </c>
      <c r="AB115" s="44"/>
      <c r="AC115" s="44"/>
      <c r="AD115" s="44"/>
      <c r="AE115" s="44"/>
      <c r="AF115" s="44">
        <f>5000000+20000000</f>
        <v>25000000</v>
      </c>
      <c r="AG115" s="46">
        <f t="shared" si="55"/>
        <v>0.637381170479838</v>
      </c>
      <c r="AH115" s="44">
        <f t="shared" ref="AH115:AH128" si="92">SUM(AI115:BE115)</f>
        <v>507160447</v>
      </c>
      <c r="AI115" s="44">
        <f>+'[6]Acuerdo PLAN INVERSIÓN 2021'!$L$5934</f>
        <v>288480447</v>
      </c>
      <c r="AJ115" s="44">
        <f>+'[3]Acuerdo PLAN INVERSIÓN 2021'!$H$3523+'[3]Acuerdo PLAN INVERSIÓN 2021'!$H$3532</f>
        <v>43700000</v>
      </c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>
        <f>+'[9]Acuerdo PLAN INVERSIÓN 2021'!$X$1988</f>
        <v>150000000</v>
      </c>
      <c r="BA115" s="44"/>
      <c r="BB115" s="44"/>
      <c r="BC115" s="44"/>
      <c r="BD115" s="44"/>
      <c r="BE115" s="44">
        <f>+'[6]Acuerdo PLAN INVERSIÓN 2021'!$AF$5934</f>
        <v>24980000</v>
      </c>
      <c r="BF115" s="46">
        <f t="shared" si="57"/>
        <v>0.362618829520162</v>
      </c>
      <c r="BG115" s="44">
        <f t="shared" si="64"/>
        <v>288533669</v>
      </c>
      <c r="BH115" s="44">
        <f t="shared" si="90"/>
        <v>286181133</v>
      </c>
      <c r="BI115" s="44">
        <f t="shared" si="90"/>
        <v>1614000</v>
      </c>
      <c r="BJ115" s="44">
        <f t="shared" si="90"/>
        <v>0</v>
      </c>
      <c r="BK115" s="44">
        <f t="shared" si="90"/>
        <v>718536</v>
      </c>
      <c r="BL115" s="44">
        <f t="shared" si="90"/>
        <v>0</v>
      </c>
      <c r="BM115" s="44">
        <f t="shared" si="90"/>
        <v>0</v>
      </c>
      <c r="BN115" s="44">
        <f t="shared" si="90"/>
        <v>0</v>
      </c>
      <c r="BO115" s="44">
        <f t="shared" si="90"/>
        <v>0</v>
      </c>
      <c r="BP115" s="44">
        <f t="shared" si="90"/>
        <v>0</v>
      </c>
      <c r="BQ115" s="44">
        <f t="shared" si="90"/>
        <v>0</v>
      </c>
      <c r="BR115" s="44">
        <f t="shared" si="90"/>
        <v>0</v>
      </c>
      <c r="BS115" s="44">
        <f t="shared" si="90"/>
        <v>0</v>
      </c>
      <c r="BT115" s="44">
        <f t="shared" si="90"/>
        <v>0</v>
      </c>
      <c r="BU115" s="44">
        <f t="shared" si="90"/>
        <v>0</v>
      </c>
      <c r="BV115" s="44">
        <f t="shared" si="90"/>
        <v>0</v>
      </c>
      <c r="BW115" s="44">
        <f t="shared" si="88"/>
        <v>0</v>
      </c>
      <c r="BX115" s="44">
        <f t="shared" si="82"/>
        <v>0</v>
      </c>
      <c r="BY115" s="44">
        <f t="shared" si="82"/>
        <v>0</v>
      </c>
      <c r="BZ115" s="44">
        <f t="shared" si="82"/>
        <v>0</v>
      </c>
      <c r="CA115" s="44">
        <f t="shared" si="82"/>
        <v>0</v>
      </c>
      <c r="CB115" s="44">
        <f t="shared" si="82"/>
        <v>0</v>
      </c>
      <c r="CC115" s="44">
        <f t="shared" si="82"/>
        <v>0</v>
      </c>
      <c r="CD115" s="44">
        <f t="shared" si="82"/>
        <v>20000</v>
      </c>
      <c r="CE115" s="46">
        <f t="shared" ref="CE115:CE129" si="93">CF115/G115</f>
        <v>0.21970000089833516</v>
      </c>
      <c r="CF115" s="44">
        <f t="shared" ref="CF115:CF128" si="94">SUM(CG115:DC115)</f>
        <v>174813998</v>
      </c>
      <c r="CG115" s="44"/>
      <c r="CH115" s="44">
        <f>+'[3]Acuerdo PLAN INVERSIÓN 2021'!$H$3523+'[3]Acuerdo PLAN INVERSIÓN 2021'!$H$3532</f>
        <v>43700000</v>
      </c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>
        <f>+'[3]Acuerdo PLAN INVERSIÓN 2021'!$H$3520</f>
        <v>106500000</v>
      </c>
      <c r="CY115" s="44"/>
      <c r="CZ115" s="44"/>
      <c r="DA115" s="44"/>
      <c r="DB115" s="44"/>
      <c r="DC115" s="44">
        <f>+'[2]Acuerdo PLAN INVERSIÓN 2021'!$H$4073+'[2]Acuerdo PLAN INVERSIÓN 2021'!$H$4076+'[2]Acuerdo PLAN INVERSIÓN 2021'!$H$4079+'[5]Acuerdo PLAN INVERSIÓN 2021'!$H$6960</f>
        <v>24613998</v>
      </c>
      <c r="DD115" s="46">
        <f t="shared" si="56"/>
        <v>0.78029999910166481</v>
      </c>
      <c r="DE115" s="44">
        <f t="shared" si="83"/>
        <v>620880118</v>
      </c>
      <c r="DF115" s="44">
        <f t="shared" si="91"/>
        <v>574661580</v>
      </c>
      <c r="DG115" s="44">
        <f t="shared" si="91"/>
        <v>1614000</v>
      </c>
      <c r="DH115" s="44">
        <f t="shared" si="91"/>
        <v>0</v>
      </c>
      <c r="DI115" s="44">
        <f t="shared" si="91"/>
        <v>718536</v>
      </c>
      <c r="DJ115" s="44">
        <f t="shared" si="91"/>
        <v>0</v>
      </c>
      <c r="DK115" s="44">
        <f t="shared" si="91"/>
        <v>0</v>
      </c>
      <c r="DL115" s="44">
        <f t="shared" si="91"/>
        <v>0</v>
      </c>
      <c r="DM115" s="44">
        <f t="shared" si="91"/>
        <v>0</v>
      </c>
      <c r="DN115" s="44">
        <f t="shared" si="91"/>
        <v>0</v>
      </c>
      <c r="DO115" s="44">
        <f t="shared" si="91"/>
        <v>0</v>
      </c>
      <c r="DP115" s="44">
        <f t="shared" si="91"/>
        <v>0</v>
      </c>
      <c r="DQ115" s="44">
        <f t="shared" si="91"/>
        <v>0</v>
      </c>
      <c r="DR115" s="44">
        <f t="shared" si="91"/>
        <v>0</v>
      </c>
      <c r="DS115" s="44">
        <f t="shared" si="91"/>
        <v>0</v>
      </c>
      <c r="DT115" s="44">
        <f t="shared" si="91"/>
        <v>0</v>
      </c>
      <c r="DU115" s="44">
        <f t="shared" si="89"/>
        <v>0</v>
      </c>
      <c r="DV115" s="44">
        <f t="shared" si="85"/>
        <v>0</v>
      </c>
      <c r="DW115" s="44">
        <f t="shared" si="85"/>
        <v>43500000</v>
      </c>
      <c r="DX115" s="44">
        <f t="shared" si="85"/>
        <v>0</v>
      </c>
      <c r="DY115" s="44">
        <f t="shared" si="85"/>
        <v>0</v>
      </c>
      <c r="DZ115" s="44">
        <f t="shared" si="85"/>
        <v>0</v>
      </c>
      <c r="EA115" s="44">
        <f t="shared" si="85"/>
        <v>0</v>
      </c>
      <c r="EB115" s="44">
        <f t="shared" si="85"/>
        <v>386002</v>
      </c>
      <c r="EE115" s="75">
        <f t="shared" si="86"/>
        <v>795694116</v>
      </c>
      <c r="EF115" s="75">
        <f t="shared" si="72"/>
        <v>174813998</v>
      </c>
    </row>
    <row r="116" spans="1:136" ht="30" hidden="1" customHeight="1" x14ac:dyDescent="0.25">
      <c r="A116" s="50"/>
      <c r="B116" s="84"/>
      <c r="C116" s="83" t="s">
        <v>336</v>
      </c>
      <c r="D116" s="54" t="s">
        <v>337</v>
      </c>
      <c r="E116" s="122">
        <v>211</v>
      </c>
      <c r="F116" s="43" t="s">
        <v>240</v>
      </c>
      <c r="G116" s="44">
        <f t="shared" si="80"/>
        <v>90000000</v>
      </c>
      <c r="H116" s="45">
        <v>380000000</v>
      </c>
      <c r="I116" s="45">
        <f t="shared" si="87"/>
        <v>290000000</v>
      </c>
      <c r="J116" s="78"/>
      <c r="K116" s="44">
        <v>45000000</v>
      </c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>
        <f>15000000+30000000</f>
        <v>45000000</v>
      </c>
      <c r="AB116" s="44"/>
      <c r="AC116" s="44"/>
      <c r="AD116" s="44"/>
      <c r="AE116" s="44"/>
      <c r="AF116" s="44"/>
      <c r="AG116" s="46">
        <f t="shared" si="55"/>
        <v>0.99438888888888888</v>
      </c>
      <c r="AH116" s="44">
        <f t="shared" si="92"/>
        <v>89495000</v>
      </c>
      <c r="AI116" s="44"/>
      <c r="AJ116" s="44">
        <f>+'[10]Acuerdo PLAN INVERSIÓN 2021'!$J$1060</f>
        <v>44495000</v>
      </c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>
        <f>+'[2]Acuerdo PLAN INVERSIÓN 2021'!$X$4087</f>
        <v>45000000</v>
      </c>
      <c r="BA116" s="44"/>
      <c r="BB116" s="44"/>
      <c r="BC116" s="44"/>
      <c r="BD116" s="44"/>
      <c r="BE116" s="44"/>
      <c r="BF116" s="46">
        <f t="shared" si="57"/>
        <v>5.6111111111111223E-3</v>
      </c>
      <c r="BG116" s="44">
        <f t="shared" si="64"/>
        <v>505000</v>
      </c>
      <c r="BH116" s="44">
        <f t="shared" si="90"/>
        <v>0</v>
      </c>
      <c r="BI116" s="44">
        <f t="shared" si="90"/>
        <v>505000</v>
      </c>
      <c r="BJ116" s="44">
        <f t="shared" si="90"/>
        <v>0</v>
      </c>
      <c r="BK116" s="44">
        <f t="shared" si="90"/>
        <v>0</v>
      </c>
      <c r="BL116" s="44">
        <f t="shared" si="90"/>
        <v>0</v>
      </c>
      <c r="BM116" s="44">
        <f t="shared" si="90"/>
        <v>0</v>
      </c>
      <c r="BN116" s="44">
        <f t="shared" si="90"/>
        <v>0</v>
      </c>
      <c r="BO116" s="44">
        <f t="shared" si="90"/>
        <v>0</v>
      </c>
      <c r="BP116" s="44">
        <f t="shared" si="90"/>
        <v>0</v>
      </c>
      <c r="BQ116" s="44">
        <f t="shared" si="90"/>
        <v>0</v>
      </c>
      <c r="BR116" s="44">
        <f t="shared" si="90"/>
        <v>0</v>
      </c>
      <c r="BS116" s="44">
        <f t="shared" si="90"/>
        <v>0</v>
      </c>
      <c r="BT116" s="44">
        <f t="shared" si="90"/>
        <v>0</v>
      </c>
      <c r="BU116" s="44">
        <f t="shared" si="90"/>
        <v>0</v>
      </c>
      <c r="BV116" s="44">
        <f t="shared" si="90"/>
        <v>0</v>
      </c>
      <c r="BW116" s="44">
        <f t="shared" si="88"/>
        <v>0</v>
      </c>
      <c r="BX116" s="44">
        <f t="shared" si="82"/>
        <v>0</v>
      </c>
      <c r="BY116" s="44">
        <f t="shared" si="82"/>
        <v>0</v>
      </c>
      <c r="BZ116" s="44">
        <f t="shared" si="82"/>
        <v>0</v>
      </c>
      <c r="CA116" s="44">
        <f t="shared" si="82"/>
        <v>0</v>
      </c>
      <c r="CB116" s="44">
        <f t="shared" si="82"/>
        <v>0</v>
      </c>
      <c r="CC116" s="44">
        <f t="shared" si="82"/>
        <v>0</v>
      </c>
      <c r="CD116" s="44">
        <f t="shared" si="82"/>
        <v>0</v>
      </c>
      <c r="CE116" s="46">
        <f t="shared" si="93"/>
        <v>0.969858</v>
      </c>
      <c r="CF116" s="44">
        <f t="shared" si="94"/>
        <v>87287220</v>
      </c>
      <c r="CG116" s="44"/>
      <c r="CH116" s="44">
        <f>+'[8]Acuerdo PLAN INVERSIÓN 2021'!$H$1327</f>
        <v>44457860</v>
      </c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>
        <f>+'[1]Acuerdo PLAN INVERSIÓN 2021'!$H$4953+'[1]Acuerdo PLAN INVERSIÓN 2021'!$H$4959</f>
        <v>42829360</v>
      </c>
      <c r="CY116" s="44"/>
      <c r="CZ116" s="44"/>
      <c r="DA116" s="44"/>
      <c r="DB116" s="44"/>
      <c r="DC116" s="44"/>
      <c r="DD116" s="46">
        <f t="shared" si="56"/>
        <v>3.0142000000000002E-2</v>
      </c>
      <c r="DE116" s="44">
        <f t="shared" si="83"/>
        <v>2712780</v>
      </c>
      <c r="DF116" s="44">
        <f t="shared" si="91"/>
        <v>0</v>
      </c>
      <c r="DG116" s="44">
        <f t="shared" si="91"/>
        <v>542140</v>
      </c>
      <c r="DH116" s="44">
        <f t="shared" si="91"/>
        <v>0</v>
      </c>
      <c r="DI116" s="44">
        <f t="shared" si="91"/>
        <v>0</v>
      </c>
      <c r="DJ116" s="44">
        <f t="shared" si="91"/>
        <v>0</v>
      </c>
      <c r="DK116" s="44">
        <f t="shared" si="91"/>
        <v>0</v>
      </c>
      <c r="DL116" s="44">
        <f t="shared" si="91"/>
        <v>0</v>
      </c>
      <c r="DM116" s="44">
        <f t="shared" si="91"/>
        <v>0</v>
      </c>
      <c r="DN116" s="44">
        <f t="shared" si="91"/>
        <v>0</v>
      </c>
      <c r="DO116" s="44">
        <f t="shared" si="91"/>
        <v>0</v>
      </c>
      <c r="DP116" s="44">
        <f t="shared" si="91"/>
        <v>0</v>
      </c>
      <c r="DQ116" s="44">
        <f t="shared" si="91"/>
        <v>0</v>
      </c>
      <c r="DR116" s="44">
        <f t="shared" si="91"/>
        <v>0</v>
      </c>
      <c r="DS116" s="44">
        <f t="shared" si="91"/>
        <v>0</v>
      </c>
      <c r="DT116" s="44">
        <f t="shared" si="91"/>
        <v>0</v>
      </c>
      <c r="DU116" s="44">
        <f t="shared" si="89"/>
        <v>0</v>
      </c>
      <c r="DV116" s="44">
        <f t="shared" si="85"/>
        <v>0</v>
      </c>
      <c r="DW116" s="44">
        <f t="shared" si="85"/>
        <v>2170640</v>
      </c>
      <c r="DX116" s="44">
        <f t="shared" si="85"/>
        <v>0</v>
      </c>
      <c r="DY116" s="44">
        <f t="shared" si="85"/>
        <v>0</v>
      </c>
      <c r="DZ116" s="44">
        <f t="shared" si="85"/>
        <v>0</v>
      </c>
      <c r="EA116" s="44">
        <f t="shared" si="85"/>
        <v>0</v>
      </c>
      <c r="EB116" s="44">
        <f t="shared" si="85"/>
        <v>0</v>
      </c>
      <c r="EE116" s="75">
        <f t="shared" si="86"/>
        <v>90000000</v>
      </c>
      <c r="EF116" s="75">
        <f t="shared" si="72"/>
        <v>87287220</v>
      </c>
    </row>
    <row r="117" spans="1:136" ht="18" hidden="1" customHeight="1" x14ac:dyDescent="0.25">
      <c r="A117" s="50"/>
      <c r="B117" s="84"/>
      <c r="C117" s="83" t="s">
        <v>338</v>
      </c>
      <c r="D117" s="54" t="s">
        <v>339</v>
      </c>
      <c r="E117" s="122">
        <v>211</v>
      </c>
      <c r="F117" s="43" t="s">
        <v>240</v>
      </c>
      <c r="G117" s="44">
        <f t="shared" si="80"/>
        <v>135400000</v>
      </c>
      <c r="H117" s="45">
        <v>231000000</v>
      </c>
      <c r="I117" s="45">
        <f t="shared" si="87"/>
        <v>95600000</v>
      </c>
      <c r="J117" s="78"/>
      <c r="K117" s="44">
        <v>55000000</v>
      </c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>
        <f>40400000+40000000</f>
        <v>80400000</v>
      </c>
      <c r="AB117" s="44"/>
      <c r="AC117" s="44"/>
      <c r="AD117" s="44"/>
      <c r="AE117" s="44"/>
      <c r="AF117" s="44"/>
      <c r="AG117" s="46">
        <f t="shared" si="55"/>
        <v>0.99945607828655836</v>
      </c>
      <c r="AH117" s="44">
        <f t="shared" si="92"/>
        <v>135326353</v>
      </c>
      <c r="AI117" s="44"/>
      <c r="AJ117" s="44">
        <f>+'[2]Acuerdo PLAN INVERSIÓN 2021'!$J$4104</f>
        <v>54926353</v>
      </c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>
        <f>+'[2]Acuerdo PLAN INVERSIÓN 2021'!$X$4104</f>
        <v>80400000</v>
      </c>
      <c r="BA117" s="44"/>
      <c r="BB117" s="44"/>
      <c r="BC117" s="44"/>
      <c r="BD117" s="44"/>
      <c r="BE117" s="44"/>
      <c r="BF117" s="46">
        <f t="shared" si="57"/>
        <v>5.4392171344164186E-4</v>
      </c>
      <c r="BG117" s="44">
        <f t="shared" si="64"/>
        <v>73647</v>
      </c>
      <c r="BH117" s="44">
        <f t="shared" si="90"/>
        <v>0</v>
      </c>
      <c r="BI117" s="44">
        <f t="shared" si="90"/>
        <v>73647</v>
      </c>
      <c r="BJ117" s="44">
        <f t="shared" si="90"/>
        <v>0</v>
      </c>
      <c r="BK117" s="44">
        <f t="shared" si="90"/>
        <v>0</v>
      </c>
      <c r="BL117" s="44">
        <f t="shared" si="90"/>
        <v>0</v>
      </c>
      <c r="BM117" s="44">
        <f t="shared" si="90"/>
        <v>0</v>
      </c>
      <c r="BN117" s="44">
        <f t="shared" si="90"/>
        <v>0</v>
      </c>
      <c r="BO117" s="44">
        <f t="shared" si="90"/>
        <v>0</v>
      </c>
      <c r="BP117" s="44">
        <f t="shared" si="90"/>
        <v>0</v>
      </c>
      <c r="BQ117" s="44">
        <f t="shared" si="90"/>
        <v>0</v>
      </c>
      <c r="BR117" s="44">
        <f t="shared" si="90"/>
        <v>0</v>
      </c>
      <c r="BS117" s="44">
        <f t="shared" si="90"/>
        <v>0</v>
      </c>
      <c r="BT117" s="44">
        <f t="shared" si="90"/>
        <v>0</v>
      </c>
      <c r="BU117" s="44">
        <f t="shared" si="90"/>
        <v>0</v>
      </c>
      <c r="BV117" s="44">
        <f t="shared" si="90"/>
        <v>0</v>
      </c>
      <c r="BW117" s="44">
        <f t="shared" si="88"/>
        <v>0</v>
      </c>
      <c r="BX117" s="44">
        <f t="shared" si="82"/>
        <v>0</v>
      </c>
      <c r="BY117" s="44">
        <f t="shared" si="82"/>
        <v>0</v>
      </c>
      <c r="BZ117" s="44">
        <f t="shared" si="82"/>
        <v>0</v>
      </c>
      <c r="CA117" s="44">
        <f t="shared" si="82"/>
        <v>0</v>
      </c>
      <c r="CB117" s="44">
        <f t="shared" si="82"/>
        <v>0</v>
      </c>
      <c r="CC117" s="44">
        <f t="shared" si="82"/>
        <v>0</v>
      </c>
      <c r="CD117" s="44">
        <f t="shared" si="82"/>
        <v>0</v>
      </c>
      <c r="CE117" s="46">
        <f t="shared" si="93"/>
        <v>0.90947675775480064</v>
      </c>
      <c r="CF117" s="44">
        <f t="shared" si="94"/>
        <v>123143153</v>
      </c>
      <c r="CG117" s="44"/>
      <c r="CH117" s="44">
        <f>+'[8]Acuerdo PLAN INVERSIÓN 2021'!$H$1336</f>
        <v>54909740</v>
      </c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>
        <f>+'[1]Acuerdo PLAN INVERSIÓN 2021'!$H$4974+'[1]Acuerdo PLAN INVERSIÓN 2021'!$H$4983</f>
        <v>68233413</v>
      </c>
      <c r="CY117" s="44"/>
      <c r="CZ117" s="44"/>
      <c r="DA117" s="44"/>
      <c r="DB117" s="44"/>
      <c r="DC117" s="44"/>
      <c r="DD117" s="46">
        <f t="shared" si="56"/>
        <v>9.0523242245199365E-2</v>
      </c>
      <c r="DE117" s="44">
        <f t="shared" si="83"/>
        <v>12256847</v>
      </c>
      <c r="DF117" s="44">
        <f t="shared" si="91"/>
        <v>0</v>
      </c>
      <c r="DG117" s="44">
        <f t="shared" si="91"/>
        <v>90260</v>
      </c>
      <c r="DH117" s="44">
        <f t="shared" si="91"/>
        <v>0</v>
      </c>
      <c r="DI117" s="44">
        <f t="shared" si="91"/>
        <v>0</v>
      </c>
      <c r="DJ117" s="44">
        <f t="shared" si="91"/>
        <v>0</v>
      </c>
      <c r="DK117" s="44">
        <f t="shared" si="91"/>
        <v>0</v>
      </c>
      <c r="DL117" s="44">
        <f t="shared" si="91"/>
        <v>0</v>
      </c>
      <c r="DM117" s="44">
        <f t="shared" si="91"/>
        <v>0</v>
      </c>
      <c r="DN117" s="44">
        <f t="shared" si="91"/>
        <v>0</v>
      </c>
      <c r="DO117" s="44">
        <f t="shared" si="91"/>
        <v>0</v>
      </c>
      <c r="DP117" s="44">
        <f t="shared" si="91"/>
        <v>0</v>
      </c>
      <c r="DQ117" s="44">
        <f t="shared" si="91"/>
        <v>0</v>
      </c>
      <c r="DR117" s="44">
        <f t="shared" si="91"/>
        <v>0</v>
      </c>
      <c r="DS117" s="44">
        <f t="shared" si="91"/>
        <v>0</v>
      </c>
      <c r="DT117" s="44">
        <f t="shared" si="91"/>
        <v>0</v>
      </c>
      <c r="DU117" s="44">
        <f t="shared" si="89"/>
        <v>0</v>
      </c>
      <c r="DV117" s="44">
        <f t="shared" si="85"/>
        <v>0</v>
      </c>
      <c r="DW117" s="44">
        <f t="shared" si="85"/>
        <v>12166587</v>
      </c>
      <c r="DX117" s="44">
        <f t="shared" si="85"/>
        <v>0</v>
      </c>
      <c r="DY117" s="44">
        <f t="shared" si="85"/>
        <v>0</v>
      </c>
      <c r="DZ117" s="44">
        <f t="shared" si="85"/>
        <v>0</v>
      </c>
      <c r="EA117" s="44">
        <f t="shared" si="85"/>
        <v>0</v>
      </c>
      <c r="EB117" s="44">
        <f t="shared" si="85"/>
        <v>0</v>
      </c>
      <c r="EE117" s="75">
        <f t="shared" si="86"/>
        <v>135400000</v>
      </c>
      <c r="EF117" s="75">
        <f t="shared" si="72"/>
        <v>123143153</v>
      </c>
    </row>
    <row r="118" spans="1:136" ht="19.5" hidden="1" customHeight="1" x14ac:dyDescent="0.25">
      <c r="A118" s="50"/>
      <c r="B118" s="84"/>
      <c r="C118" s="83" t="s">
        <v>340</v>
      </c>
      <c r="D118" s="54" t="s">
        <v>341</v>
      </c>
      <c r="E118" s="122">
        <v>211</v>
      </c>
      <c r="F118" s="43" t="s">
        <v>240</v>
      </c>
      <c r="G118" s="44">
        <f t="shared" si="80"/>
        <v>489600000</v>
      </c>
      <c r="H118" s="45">
        <v>416500000</v>
      </c>
      <c r="I118" s="45">
        <f t="shared" si="87"/>
        <v>-73100000</v>
      </c>
      <c r="J118" s="78"/>
      <c r="K118" s="44">
        <v>200000000</v>
      </c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>
        <f>165000000-15000000-40400000+90000000</f>
        <v>199600000</v>
      </c>
      <c r="AB118" s="44">
        <v>90000000</v>
      </c>
      <c r="AC118" s="44"/>
      <c r="AD118" s="44"/>
      <c r="AE118" s="44"/>
      <c r="AF118" s="44"/>
      <c r="AG118" s="46">
        <f t="shared" si="55"/>
        <v>1</v>
      </c>
      <c r="AH118" s="44">
        <f t="shared" si="92"/>
        <v>489600000</v>
      </c>
      <c r="AI118" s="44"/>
      <c r="AJ118" s="44">
        <f>+'[4]Acuerdo PLAN INVERSIÓN 2021'!$J$2944</f>
        <v>200000000</v>
      </c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>
        <f>+'[2]Acuerdo PLAN INVERSIÓN 2021'!$X$4124</f>
        <v>199600000</v>
      </c>
      <c r="BA118" s="44">
        <f>+'[2]Acuerdo PLAN INVERSIÓN 2021'!$Y$4124</f>
        <v>90000000</v>
      </c>
      <c r="BB118" s="44"/>
      <c r="BC118" s="44"/>
      <c r="BD118" s="44"/>
      <c r="BE118" s="44"/>
      <c r="BF118" s="46">
        <f t="shared" si="57"/>
        <v>0</v>
      </c>
      <c r="BG118" s="44">
        <f t="shared" si="64"/>
        <v>0</v>
      </c>
      <c r="BH118" s="44">
        <f t="shared" si="90"/>
        <v>0</v>
      </c>
      <c r="BI118" s="44">
        <f t="shared" si="90"/>
        <v>0</v>
      </c>
      <c r="BJ118" s="44">
        <f t="shared" si="90"/>
        <v>0</v>
      </c>
      <c r="BK118" s="44">
        <f t="shared" si="90"/>
        <v>0</v>
      </c>
      <c r="BL118" s="44">
        <f t="shared" si="90"/>
        <v>0</v>
      </c>
      <c r="BM118" s="44">
        <f t="shared" si="90"/>
        <v>0</v>
      </c>
      <c r="BN118" s="44">
        <f t="shared" si="90"/>
        <v>0</v>
      </c>
      <c r="BO118" s="44">
        <f t="shared" si="90"/>
        <v>0</v>
      </c>
      <c r="BP118" s="44">
        <f t="shared" si="90"/>
        <v>0</v>
      </c>
      <c r="BQ118" s="44">
        <f t="shared" si="90"/>
        <v>0</v>
      </c>
      <c r="BR118" s="44">
        <f t="shared" si="90"/>
        <v>0</v>
      </c>
      <c r="BS118" s="44">
        <f t="shared" si="90"/>
        <v>0</v>
      </c>
      <c r="BT118" s="44">
        <f t="shared" si="90"/>
        <v>0</v>
      </c>
      <c r="BU118" s="44">
        <f t="shared" si="90"/>
        <v>0</v>
      </c>
      <c r="BV118" s="44">
        <f t="shared" si="90"/>
        <v>0</v>
      </c>
      <c r="BW118" s="44">
        <f t="shared" si="88"/>
        <v>0</v>
      </c>
      <c r="BX118" s="44">
        <f t="shared" si="82"/>
        <v>0</v>
      </c>
      <c r="BY118" s="44">
        <f t="shared" si="82"/>
        <v>0</v>
      </c>
      <c r="BZ118" s="44">
        <f t="shared" si="82"/>
        <v>0</v>
      </c>
      <c r="CA118" s="44">
        <f t="shared" si="82"/>
        <v>0</v>
      </c>
      <c r="CB118" s="44">
        <f t="shared" si="82"/>
        <v>0</v>
      </c>
      <c r="CC118" s="44">
        <f t="shared" si="82"/>
        <v>0</v>
      </c>
      <c r="CD118" s="44">
        <f t="shared" si="82"/>
        <v>0</v>
      </c>
      <c r="CE118" s="46">
        <f t="shared" si="93"/>
        <v>0.96362906454248365</v>
      </c>
      <c r="CF118" s="44">
        <f t="shared" si="94"/>
        <v>471792790</v>
      </c>
      <c r="CG118" s="44"/>
      <c r="CH118" s="44">
        <f>+'[1]Acuerdo PLAN INVERSIÓN 2021'!$H$4992</f>
        <v>199915580</v>
      </c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>
        <f>+'[5]Acuerdo PLAN INVERSIÓN 2021'!$H$7036+'[5]Acuerdo PLAN INVERSIÓN 2021'!$H$7061+'[5]Acuerdo PLAN INVERSIÓN 2021'!$H$7067</f>
        <v>189015277</v>
      </c>
      <c r="CY118" s="44">
        <f>+'[5]Acuerdo PLAN INVERSIÓN 2021'!$H$7077</f>
        <v>82861933</v>
      </c>
      <c r="CZ118" s="44"/>
      <c r="DA118" s="44"/>
      <c r="DB118" s="44"/>
      <c r="DC118" s="44"/>
      <c r="DD118" s="46">
        <f t="shared" si="56"/>
        <v>3.6370935457516351E-2</v>
      </c>
      <c r="DE118" s="44">
        <f t="shared" si="83"/>
        <v>17807210</v>
      </c>
      <c r="DF118" s="44">
        <f t="shared" si="91"/>
        <v>0</v>
      </c>
      <c r="DG118" s="44">
        <f t="shared" si="91"/>
        <v>84420</v>
      </c>
      <c r="DH118" s="44">
        <f t="shared" si="91"/>
        <v>0</v>
      </c>
      <c r="DI118" s="44">
        <f t="shared" si="91"/>
        <v>0</v>
      </c>
      <c r="DJ118" s="44">
        <f t="shared" si="91"/>
        <v>0</v>
      </c>
      <c r="DK118" s="44">
        <f t="shared" si="91"/>
        <v>0</v>
      </c>
      <c r="DL118" s="44">
        <f t="shared" si="91"/>
        <v>0</v>
      </c>
      <c r="DM118" s="44">
        <f t="shared" si="91"/>
        <v>0</v>
      </c>
      <c r="DN118" s="44">
        <f t="shared" si="91"/>
        <v>0</v>
      </c>
      <c r="DO118" s="44">
        <f t="shared" si="91"/>
        <v>0</v>
      </c>
      <c r="DP118" s="44">
        <f t="shared" si="91"/>
        <v>0</v>
      </c>
      <c r="DQ118" s="44">
        <f t="shared" si="91"/>
        <v>0</v>
      </c>
      <c r="DR118" s="44">
        <f t="shared" si="91"/>
        <v>0</v>
      </c>
      <c r="DS118" s="44">
        <f t="shared" si="91"/>
        <v>0</v>
      </c>
      <c r="DT118" s="44">
        <f t="shared" si="91"/>
        <v>0</v>
      </c>
      <c r="DU118" s="44">
        <f t="shared" si="89"/>
        <v>0</v>
      </c>
      <c r="DV118" s="44">
        <f t="shared" si="85"/>
        <v>0</v>
      </c>
      <c r="DW118" s="44">
        <f t="shared" si="85"/>
        <v>10584723</v>
      </c>
      <c r="DX118" s="44">
        <f t="shared" si="85"/>
        <v>7138067</v>
      </c>
      <c r="DY118" s="44">
        <f t="shared" si="85"/>
        <v>0</v>
      </c>
      <c r="DZ118" s="44">
        <f t="shared" si="85"/>
        <v>0</v>
      </c>
      <c r="EA118" s="44">
        <f t="shared" si="85"/>
        <v>0</v>
      </c>
      <c r="EB118" s="44">
        <f t="shared" si="85"/>
        <v>0</v>
      </c>
      <c r="EE118" s="75">
        <f t="shared" si="86"/>
        <v>489600000</v>
      </c>
      <c r="EF118" s="75">
        <f t="shared" si="72"/>
        <v>471792790</v>
      </c>
    </row>
    <row r="119" spans="1:136" ht="27.75" hidden="1" customHeight="1" x14ac:dyDescent="0.25">
      <c r="A119" s="50"/>
      <c r="B119" s="81"/>
      <c r="C119" s="83" t="s">
        <v>342</v>
      </c>
      <c r="D119" s="54" t="s">
        <v>343</v>
      </c>
      <c r="E119" s="122">
        <v>211</v>
      </c>
      <c r="F119" s="43" t="s">
        <v>344</v>
      </c>
      <c r="G119" s="44">
        <f t="shared" si="80"/>
        <v>980852039</v>
      </c>
      <c r="H119" s="45">
        <v>520000000</v>
      </c>
      <c r="I119" s="45">
        <f t="shared" si="87"/>
        <v>-460852039</v>
      </c>
      <c r="J119" s="44">
        <f>60000000</f>
        <v>60000000</v>
      </c>
      <c r="K119" s="44">
        <v>200000000</v>
      </c>
      <c r="L119" s="44"/>
      <c r="M119" s="44">
        <f>10351839+362500200</f>
        <v>372852039</v>
      </c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>
        <v>340000000</v>
      </c>
      <c r="AB119" s="44"/>
      <c r="AC119" s="44"/>
      <c r="AD119" s="44"/>
      <c r="AE119" s="44"/>
      <c r="AF119" s="44">
        <v>8000000</v>
      </c>
      <c r="AG119" s="46">
        <f t="shared" si="55"/>
        <v>0.52172152746067746</v>
      </c>
      <c r="AH119" s="44">
        <f t="shared" si="92"/>
        <v>511731624</v>
      </c>
      <c r="AI119" s="44">
        <f>+'[1]Acuerdo PLAN INVERSIÓN 2021'!$L$5069</f>
        <v>22099840</v>
      </c>
      <c r="AJ119" s="44">
        <f>+'[1]Acuerdo PLAN INVERSIÓN 2021'!$J$5069</f>
        <v>200000000</v>
      </c>
      <c r="AK119" s="44"/>
      <c r="AL119" s="44">
        <f>+'[5]Acuerdo PLAN INVERSIÓN 2021'!$M$7093</f>
        <v>281631784</v>
      </c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>
        <f>+'[5]Acuerdo PLAN INVERSIÓN 2021'!$AF$7093</f>
        <v>8000000</v>
      </c>
      <c r="BF119" s="46">
        <f t="shared" si="57"/>
        <v>0.47827847253932254</v>
      </c>
      <c r="BG119" s="44">
        <f t="shared" si="64"/>
        <v>469120415</v>
      </c>
      <c r="BH119" s="44">
        <f t="shared" si="90"/>
        <v>37900160</v>
      </c>
      <c r="BI119" s="44">
        <f t="shared" si="90"/>
        <v>0</v>
      </c>
      <c r="BJ119" s="44">
        <f t="shared" si="90"/>
        <v>0</v>
      </c>
      <c r="BK119" s="44">
        <f t="shared" si="90"/>
        <v>91220255</v>
      </c>
      <c r="BL119" s="44">
        <f t="shared" si="90"/>
        <v>0</v>
      </c>
      <c r="BM119" s="44">
        <f t="shared" si="90"/>
        <v>0</v>
      </c>
      <c r="BN119" s="44">
        <f t="shared" si="90"/>
        <v>0</v>
      </c>
      <c r="BO119" s="44">
        <f t="shared" si="90"/>
        <v>0</v>
      </c>
      <c r="BP119" s="44">
        <f t="shared" si="90"/>
        <v>0</v>
      </c>
      <c r="BQ119" s="44">
        <f t="shared" si="90"/>
        <v>0</v>
      </c>
      <c r="BR119" s="44">
        <f t="shared" si="90"/>
        <v>0</v>
      </c>
      <c r="BS119" s="44">
        <f t="shared" si="90"/>
        <v>0</v>
      </c>
      <c r="BT119" s="44">
        <f t="shared" si="90"/>
        <v>0</v>
      </c>
      <c r="BU119" s="44">
        <f t="shared" si="90"/>
        <v>0</v>
      </c>
      <c r="BV119" s="44">
        <f t="shared" si="90"/>
        <v>0</v>
      </c>
      <c r="BW119" s="44">
        <f t="shared" si="88"/>
        <v>0</v>
      </c>
      <c r="BX119" s="44">
        <f t="shared" si="82"/>
        <v>0</v>
      </c>
      <c r="BY119" s="44">
        <f t="shared" si="82"/>
        <v>340000000</v>
      </c>
      <c r="BZ119" s="44">
        <f t="shared" si="82"/>
        <v>0</v>
      </c>
      <c r="CA119" s="44">
        <f t="shared" si="82"/>
        <v>0</v>
      </c>
      <c r="CB119" s="44">
        <f t="shared" si="82"/>
        <v>0</v>
      </c>
      <c r="CC119" s="44">
        <f t="shared" si="82"/>
        <v>0</v>
      </c>
      <c r="CD119" s="44">
        <f t="shared" si="82"/>
        <v>0</v>
      </c>
      <c r="CE119" s="46">
        <f t="shared" si="93"/>
        <v>0.10600395968591141</v>
      </c>
      <c r="CF119" s="44">
        <f t="shared" si="94"/>
        <v>103974200</v>
      </c>
      <c r="CG119" s="44"/>
      <c r="CH119" s="44">
        <f>+'[1]Acuerdo PLAN INVERSIÓN 2021'!$H$5070+'[1]Acuerdo PLAN INVERSIÓN 2021'!$H$5073</f>
        <v>103974200</v>
      </c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6">
        <f t="shared" si="56"/>
        <v>0.89399604031408864</v>
      </c>
      <c r="DE119" s="44">
        <f t="shared" si="83"/>
        <v>876877839</v>
      </c>
      <c r="DF119" s="44">
        <f t="shared" si="91"/>
        <v>60000000</v>
      </c>
      <c r="DG119" s="44">
        <f t="shared" si="91"/>
        <v>96025800</v>
      </c>
      <c r="DH119" s="44">
        <f t="shared" si="91"/>
        <v>0</v>
      </c>
      <c r="DI119" s="44">
        <f t="shared" si="91"/>
        <v>372852039</v>
      </c>
      <c r="DJ119" s="44">
        <f t="shared" si="91"/>
        <v>0</v>
      </c>
      <c r="DK119" s="44">
        <f t="shared" si="91"/>
        <v>0</v>
      </c>
      <c r="DL119" s="44">
        <f t="shared" si="91"/>
        <v>0</v>
      </c>
      <c r="DM119" s="44">
        <f t="shared" si="91"/>
        <v>0</v>
      </c>
      <c r="DN119" s="44">
        <f t="shared" si="91"/>
        <v>0</v>
      </c>
      <c r="DO119" s="44">
        <f t="shared" si="91"/>
        <v>0</v>
      </c>
      <c r="DP119" s="44">
        <f t="shared" si="91"/>
        <v>0</v>
      </c>
      <c r="DQ119" s="44">
        <f t="shared" si="91"/>
        <v>0</v>
      </c>
      <c r="DR119" s="44">
        <f t="shared" si="91"/>
        <v>0</v>
      </c>
      <c r="DS119" s="44">
        <f t="shared" si="91"/>
        <v>0</v>
      </c>
      <c r="DT119" s="44">
        <f t="shared" si="91"/>
        <v>0</v>
      </c>
      <c r="DU119" s="44">
        <f t="shared" si="89"/>
        <v>0</v>
      </c>
      <c r="DV119" s="44">
        <f t="shared" si="85"/>
        <v>0</v>
      </c>
      <c r="DW119" s="44">
        <f t="shared" si="85"/>
        <v>340000000</v>
      </c>
      <c r="DX119" s="44">
        <f t="shared" si="85"/>
        <v>0</v>
      </c>
      <c r="DY119" s="44">
        <f t="shared" si="85"/>
        <v>0</v>
      </c>
      <c r="DZ119" s="44">
        <f t="shared" si="85"/>
        <v>0</v>
      </c>
      <c r="EA119" s="44">
        <f t="shared" si="85"/>
        <v>0</v>
      </c>
      <c r="EB119" s="44">
        <f t="shared" si="85"/>
        <v>8000000</v>
      </c>
      <c r="EE119" s="75">
        <f t="shared" si="86"/>
        <v>980852039</v>
      </c>
      <c r="EF119" s="75">
        <f t="shared" si="72"/>
        <v>103974200</v>
      </c>
    </row>
    <row r="120" spans="1:136" ht="21" hidden="1" customHeight="1" x14ac:dyDescent="0.25">
      <c r="A120" s="50"/>
      <c r="B120" s="121" t="s">
        <v>345</v>
      </c>
      <c r="C120" s="83" t="s">
        <v>346</v>
      </c>
      <c r="D120" s="54" t="s">
        <v>347</v>
      </c>
      <c r="E120" s="122">
        <v>510</v>
      </c>
      <c r="F120" s="43" t="s">
        <v>240</v>
      </c>
      <c r="G120" s="44">
        <f t="shared" si="80"/>
        <v>170100000</v>
      </c>
      <c r="H120" s="45">
        <v>220000000</v>
      </c>
      <c r="I120" s="45">
        <f t="shared" si="87"/>
        <v>49900000</v>
      </c>
      <c r="J120" s="78"/>
      <c r="K120" s="44">
        <v>100000000</v>
      </c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>
        <f>80000000-9900000</f>
        <v>70100000</v>
      </c>
      <c r="AB120" s="44"/>
      <c r="AC120" s="44"/>
      <c r="AD120" s="44"/>
      <c r="AE120" s="44"/>
      <c r="AF120" s="44"/>
      <c r="AG120" s="46">
        <f t="shared" si="55"/>
        <v>0.96437815990593767</v>
      </c>
      <c r="AH120" s="44">
        <f t="shared" si="92"/>
        <v>164040725</v>
      </c>
      <c r="AI120" s="44"/>
      <c r="AJ120" s="44">
        <f>+'[9]Acuerdo PLAN INVERSIÓN 2021'!$J$2049+'[6]Acuerdo PLAN INVERSIÓN 2021'!$G$6136</f>
        <v>98099725</v>
      </c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>
        <f>+'[4]Acuerdo PLAN INVERSIÓN 2021'!$X$3003</f>
        <v>65941000</v>
      </c>
      <c r="BA120" s="44"/>
      <c r="BB120" s="44"/>
      <c r="BC120" s="44"/>
      <c r="BD120" s="44"/>
      <c r="BE120" s="44"/>
      <c r="BF120" s="46">
        <f t="shared" si="57"/>
        <v>3.5621840094062329E-2</v>
      </c>
      <c r="BG120" s="44">
        <f t="shared" si="64"/>
        <v>6059275</v>
      </c>
      <c r="BH120" s="44">
        <f t="shared" si="90"/>
        <v>0</v>
      </c>
      <c r="BI120" s="44">
        <f t="shared" si="90"/>
        <v>1900275</v>
      </c>
      <c r="BJ120" s="44">
        <f t="shared" si="90"/>
        <v>0</v>
      </c>
      <c r="BK120" s="44">
        <f t="shared" si="90"/>
        <v>0</v>
      </c>
      <c r="BL120" s="44">
        <f t="shared" si="90"/>
        <v>0</v>
      </c>
      <c r="BM120" s="44">
        <f t="shared" si="90"/>
        <v>0</v>
      </c>
      <c r="BN120" s="44">
        <f t="shared" si="90"/>
        <v>0</v>
      </c>
      <c r="BO120" s="44">
        <f t="shared" si="90"/>
        <v>0</v>
      </c>
      <c r="BP120" s="44">
        <f t="shared" si="90"/>
        <v>0</v>
      </c>
      <c r="BQ120" s="44">
        <f t="shared" si="90"/>
        <v>0</v>
      </c>
      <c r="BR120" s="44">
        <f t="shared" si="90"/>
        <v>0</v>
      </c>
      <c r="BS120" s="44">
        <f t="shared" si="90"/>
        <v>0</v>
      </c>
      <c r="BT120" s="44">
        <f t="shared" si="90"/>
        <v>0</v>
      </c>
      <c r="BU120" s="44">
        <f t="shared" si="90"/>
        <v>0</v>
      </c>
      <c r="BV120" s="44">
        <f t="shared" si="90"/>
        <v>0</v>
      </c>
      <c r="BW120" s="44">
        <f t="shared" si="88"/>
        <v>0</v>
      </c>
      <c r="BX120" s="44">
        <f t="shared" si="82"/>
        <v>0</v>
      </c>
      <c r="BY120" s="44">
        <f t="shared" si="82"/>
        <v>4159000</v>
      </c>
      <c r="BZ120" s="44">
        <f t="shared" si="82"/>
        <v>0</v>
      </c>
      <c r="CA120" s="44">
        <f t="shared" si="82"/>
        <v>0</v>
      </c>
      <c r="CB120" s="44">
        <f t="shared" si="82"/>
        <v>0</v>
      </c>
      <c r="CC120" s="44">
        <f t="shared" si="82"/>
        <v>0</v>
      </c>
      <c r="CD120" s="44">
        <f t="shared" si="82"/>
        <v>0</v>
      </c>
      <c r="CE120" s="46">
        <f t="shared" si="93"/>
        <v>0.82756888888888891</v>
      </c>
      <c r="CF120" s="44">
        <f t="shared" si="94"/>
        <v>140769468</v>
      </c>
      <c r="CG120" s="44"/>
      <c r="CH120" s="44">
        <f>+'[6]Acuerdo PLAN INVERSIÓN 2021'!$H$6110+'[6]Acuerdo PLAN INVERSIÓN 2021'!$H$6122</f>
        <v>95936139</v>
      </c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>
        <f>+'[6]Acuerdo PLAN INVERSIÓN 2021'!$H$6125+'[6]Acuerdo PLAN INVERSIÓN 2021'!$H$6129</f>
        <v>44833329</v>
      </c>
      <c r="CY120" s="44"/>
      <c r="CZ120" s="44"/>
      <c r="DA120" s="44"/>
      <c r="DB120" s="44"/>
      <c r="DC120" s="44"/>
      <c r="DD120" s="46">
        <f t="shared" si="56"/>
        <v>0.17243111111111109</v>
      </c>
      <c r="DE120" s="44">
        <f t="shared" si="83"/>
        <v>29330532</v>
      </c>
      <c r="DF120" s="44">
        <f t="shared" si="91"/>
        <v>0</v>
      </c>
      <c r="DG120" s="44">
        <f t="shared" si="91"/>
        <v>4063861</v>
      </c>
      <c r="DH120" s="44">
        <f t="shared" si="91"/>
        <v>0</v>
      </c>
      <c r="DI120" s="44">
        <f t="shared" si="91"/>
        <v>0</v>
      </c>
      <c r="DJ120" s="44">
        <f t="shared" si="91"/>
        <v>0</v>
      </c>
      <c r="DK120" s="44">
        <f t="shared" si="91"/>
        <v>0</v>
      </c>
      <c r="DL120" s="44">
        <f t="shared" si="91"/>
        <v>0</v>
      </c>
      <c r="DM120" s="44">
        <f t="shared" si="91"/>
        <v>0</v>
      </c>
      <c r="DN120" s="44">
        <f t="shared" si="91"/>
        <v>0</v>
      </c>
      <c r="DO120" s="44">
        <f t="shared" si="91"/>
        <v>0</v>
      </c>
      <c r="DP120" s="44">
        <f t="shared" si="91"/>
        <v>0</v>
      </c>
      <c r="DQ120" s="44">
        <f t="shared" si="91"/>
        <v>0</v>
      </c>
      <c r="DR120" s="44">
        <f t="shared" si="91"/>
        <v>0</v>
      </c>
      <c r="DS120" s="44">
        <f t="shared" si="91"/>
        <v>0</v>
      </c>
      <c r="DT120" s="44">
        <f t="shared" si="91"/>
        <v>0</v>
      </c>
      <c r="DU120" s="44">
        <f t="shared" si="89"/>
        <v>0</v>
      </c>
      <c r="DV120" s="44">
        <f t="shared" si="85"/>
        <v>0</v>
      </c>
      <c r="DW120" s="44">
        <f t="shared" si="85"/>
        <v>25266671</v>
      </c>
      <c r="DX120" s="44">
        <f t="shared" si="85"/>
        <v>0</v>
      </c>
      <c r="DY120" s="44">
        <f t="shared" si="85"/>
        <v>0</v>
      </c>
      <c r="DZ120" s="44">
        <f t="shared" si="85"/>
        <v>0</v>
      </c>
      <c r="EA120" s="44">
        <f t="shared" si="85"/>
        <v>0</v>
      </c>
      <c r="EB120" s="44">
        <f t="shared" si="85"/>
        <v>0</v>
      </c>
      <c r="EE120" s="75">
        <f t="shared" si="86"/>
        <v>170100000</v>
      </c>
      <c r="EF120" s="75">
        <f t="shared" si="72"/>
        <v>140769468</v>
      </c>
    </row>
    <row r="121" spans="1:136" ht="31.5" hidden="1" customHeight="1" x14ac:dyDescent="0.25">
      <c r="A121" s="50"/>
      <c r="B121" s="121"/>
      <c r="C121" s="83" t="s">
        <v>348</v>
      </c>
      <c r="D121" s="54" t="s">
        <v>349</v>
      </c>
      <c r="E121" s="122">
        <v>510</v>
      </c>
      <c r="F121" s="43" t="s">
        <v>240</v>
      </c>
      <c r="G121" s="44">
        <f t="shared" si="80"/>
        <v>5807000</v>
      </c>
      <c r="H121" s="45">
        <v>80000000</v>
      </c>
      <c r="I121" s="45">
        <f t="shared" si="87"/>
        <v>74193000</v>
      </c>
      <c r="J121" s="78"/>
      <c r="K121" s="44">
        <f>20000000-10000000-4193000</f>
        <v>5807000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6">
        <f t="shared" si="55"/>
        <v>1</v>
      </c>
      <c r="AH121" s="44">
        <f t="shared" si="92"/>
        <v>5807000</v>
      </c>
      <c r="AI121" s="44"/>
      <c r="AJ121" s="44">
        <f>+'[6]Acuerdo PLAN INVERSIÓN 2021'!$J$6140</f>
        <v>5807000</v>
      </c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6">
        <f t="shared" si="57"/>
        <v>0</v>
      </c>
      <c r="BG121" s="44">
        <f t="shared" si="64"/>
        <v>0</v>
      </c>
      <c r="BH121" s="44">
        <f t="shared" si="90"/>
        <v>0</v>
      </c>
      <c r="BI121" s="44">
        <f t="shared" si="90"/>
        <v>0</v>
      </c>
      <c r="BJ121" s="44">
        <f t="shared" si="90"/>
        <v>0</v>
      </c>
      <c r="BK121" s="44">
        <f t="shared" si="90"/>
        <v>0</v>
      </c>
      <c r="BL121" s="44">
        <f t="shared" si="90"/>
        <v>0</v>
      </c>
      <c r="BM121" s="44">
        <f t="shared" si="90"/>
        <v>0</v>
      </c>
      <c r="BN121" s="44">
        <f t="shared" si="90"/>
        <v>0</v>
      </c>
      <c r="BO121" s="44">
        <f t="shared" si="90"/>
        <v>0</v>
      </c>
      <c r="BP121" s="44">
        <f t="shared" si="90"/>
        <v>0</v>
      </c>
      <c r="BQ121" s="44">
        <f t="shared" si="90"/>
        <v>0</v>
      </c>
      <c r="BR121" s="44">
        <f t="shared" si="90"/>
        <v>0</v>
      </c>
      <c r="BS121" s="44">
        <f t="shared" si="90"/>
        <v>0</v>
      </c>
      <c r="BT121" s="44">
        <f t="shared" si="90"/>
        <v>0</v>
      </c>
      <c r="BU121" s="44">
        <f t="shared" si="90"/>
        <v>0</v>
      </c>
      <c r="BV121" s="44">
        <f t="shared" si="90"/>
        <v>0</v>
      </c>
      <c r="BW121" s="44">
        <f t="shared" si="88"/>
        <v>0</v>
      </c>
      <c r="BX121" s="44">
        <f t="shared" si="82"/>
        <v>0</v>
      </c>
      <c r="BY121" s="44">
        <f t="shared" si="82"/>
        <v>0</v>
      </c>
      <c r="BZ121" s="44">
        <f t="shared" si="82"/>
        <v>0</v>
      </c>
      <c r="CA121" s="44">
        <f t="shared" si="82"/>
        <v>0</v>
      </c>
      <c r="CB121" s="44">
        <f t="shared" si="82"/>
        <v>0</v>
      </c>
      <c r="CC121" s="44">
        <f t="shared" si="82"/>
        <v>0</v>
      </c>
      <c r="CD121" s="44">
        <f t="shared" si="82"/>
        <v>0</v>
      </c>
      <c r="CE121" s="46">
        <f t="shared" si="93"/>
        <v>0.95516910625107632</v>
      </c>
      <c r="CF121" s="44">
        <f t="shared" si="94"/>
        <v>5546667</v>
      </c>
      <c r="CG121" s="44"/>
      <c r="CH121" s="44">
        <f>+'[6]Acuerdo PLAN INVERSIÓN 2021'!$H$6141</f>
        <v>5546667</v>
      </c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6">
        <f t="shared" si="56"/>
        <v>4.4830893748923684E-2</v>
      </c>
      <c r="DE121" s="44">
        <f t="shared" si="83"/>
        <v>260333</v>
      </c>
      <c r="DF121" s="44">
        <f t="shared" si="91"/>
        <v>0</v>
      </c>
      <c r="DG121" s="44">
        <f t="shared" si="91"/>
        <v>260333</v>
      </c>
      <c r="DH121" s="44">
        <f t="shared" si="91"/>
        <v>0</v>
      </c>
      <c r="DI121" s="44">
        <f t="shared" si="91"/>
        <v>0</v>
      </c>
      <c r="DJ121" s="44">
        <f t="shared" si="91"/>
        <v>0</v>
      </c>
      <c r="DK121" s="44">
        <f t="shared" si="91"/>
        <v>0</v>
      </c>
      <c r="DL121" s="44">
        <f t="shared" si="91"/>
        <v>0</v>
      </c>
      <c r="DM121" s="44">
        <f t="shared" si="91"/>
        <v>0</v>
      </c>
      <c r="DN121" s="44">
        <f t="shared" si="91"/>
        <v>0</v>
      </c>
      <c r="DO121" s="44">
        <f t="shared" si="91"/>
        <v>0</v>
      </c>
      <c r="DP121" s="44">
        <f t="shared" si="91"/>
        <v>0</v>
      </c>
      <c r="DQ121" s="44">
        <f t="shared" si="91"/>
        <v>0</v>
      </c>
      <c r="DR121" s="44">
        <f t="shared" si="91"/>
        <v>0</v>
      </c>
      <c r="DS121" s="44">
        <f t="shared" si="91"/>
        <v>0</v>
      </c>
      <c r="DT121" s="44">
        <f t="shared" si="91"/>
        <v>0</v>
      </c>
      <c r="DU121" s="44">
        <f t="shared" si="89"/>
        <v>0</v>
      </c>
      <c r="DV121" s="44">
        <f t="shared" si="85"/>
        <v>0</v>
      </c>
      <c r="DW121" s="44">
        <f t="shared" si="85"/>
        <v>0</v>
      </c>
      <c r="DX121" s="44">
        <f t="shared" si="85"/>
        <v>0</v>
      </c>
      <c r="DY121" s="44">
        <f t="shared" si="85"/>
        <v>0</v>
      </c>
      <c r="DZ121" s="44">
        <f t="shared" si="85"/>
        <v>0</v>
      </c>
      <c r="EA121" s="44">
        <f t="shared" si="85"/>
        <v>0</v>
      </c>
      <c r="EB121" s="44">
        <f t="shared" si="85"/>
        <v>0</v>
      </c>
      <c r="EE121" s="75">
        <f t="shared" si="86"/>
        <v>5807000</v>
      </c>
      <c r="EF121" s="75">
        <f t="shared" si="72"/>
        <v>5546667</v>
      </c>
    </row>
    <row r="122" spans="1:136" ht="21" hidden="1" customHeight="1" x14ac:dyDescent="0.25">
      <c r="A122" s="50"/>
      <c r="B122" s="121"/>
      <c r="C122" s="83" t="s">
        <v>350</v>
      </c>
      <c r="D122" s="54" t="s">
        <v>351</v>
      </c>
      <c r="E122" s="122">
        <v>510</v>
      </c>
      <c r="F122" s="43" t="s">
        <v>240</v>
      </c>
      <c r="G122" s="44">
        <f t="shared" si="80"/>
        <v>190000000</v>
      </c>
      <c r="H122" s="45">
        <v>280000000</v>
      </c>
      <c r="I122" s="45">
        <f t="shared" si="87"/>
        <v>90000000</v>
      </c>
      <c r="J122" s="78"/>
      <c r="K122" s="44">
        <v>100000000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>
        <v>90000000</v>
      </c>
      <c r="AB122" s="44"/>
      <c r="AC122" s="44"/>
      <c r="AD122" s="44"/>
      <c r="AE122" s="44"/>
      <c r="AF122" s="44"/>
      <c r="AG122" s="46">
        <f t="shared" si="55"/>
        <v>0.94761403684210521</v>
      </c>
      <c r="AH122" s="44">
        <f t="shared" si="92"/>
        <v>180046667</v>
      </c>
      <c r="AI122" s="44"/>
      <c r="AJ122" s="44">
        <f>+'[10]Acuerdo PLAN INVERSIÓN 2021'!$J$1118</f>
        <v>90046667</v>
      </c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>
        <f>+'[2]Acuerdo PLAN INVERSIÓN 2021'!$X$4226</f>
        <v>90000000</v>
      </c>
      <c r="BA122" s="44"/>
      <c r="BB122" s="44"/>
      <c r="BC122" s="44"/>
      <c r="BD122" s="44"/>
      <c r="BE122" s="44"/>
      <c r="BF122" s="46">
        <f t="shared" si="57"/>
        <v>5.2385963157894788E-2</v>
      </c>
      <c r="BG122" s="44">
        <f t="shared" si="64"/>
        <v>9953333</v>
      </c>
      <c r="BH122" s="44">
        <f t="shared" si="90"/>
        <v>0</v>
      </c>
      <c r="BI122" s="44">
        <f t="shared" si="90"/>
        <v>9953333</v>
      </c>
      <c r="BJ122" s="44">
        <f t="shared" si="90"/>
        <v>0</v>
      </c>
      <c r="BK122" s="44">
        <f t="shared" si="90"/>
        <v>0</v>
      </c>
      <c r="BL122" s="44">
        <f t="shared" si="90"/>
        <v>0</v>
      </c>
      <c r="BM122" s="44">
        <f t="shared" si="90"/>
        <v>0</v>
      </c>
      <c r="BN122" s="44">
        <f t="shared" si="90"/>
        <v>0</v>
      </c>
      <c r="BO122" s="44">
        <f t="shared" si="90"/>
        <v>0</v>
      </c>
      <c r="BP122" s="44">
        <f t="shared" si="90"/>
        <v>0</v>
      </c>
      <c r="BQ122" s="44">
        <f t="shared" si="90"/>
        <v>0</v>
      </c>
      <c r="BR122" s="44">
        <f t="shared" si="90"/>
        <v>0</v>
      </c>
      <c r="BS122" s="44">
        <f t="shared" si="90"/>
        <v>0</v>
      </c>
      <c r="BT122" s="44">
        <f t="shared" si="90"/>
        <v>0</v>
      </c>
      <c r="BU122" s="44">
        <f t="shared" si="90"/>
        <v>0</v>
      </c>
      <c r="BV122" s="44">
        <f t="shared" si="90"/>
        <v>0</v>
      </c>
      <c r="BW122" s="44">
        <f t="shared" si="88"/>
        <v>0</v>
      </c>
      <c r="BX122" s="44">
        <f t="shared" si="82"/>
        <v>0</v>
      </c>
      <c r="BY122" s="44">
        <f t="shared" si="82"/>
        <v>0</v>
      </c>
      <c r="BZ122" s="44">
        <f t="shared" si="82"/>
        <v>0</v>
      </c>
      <c r="CA122" s="44">
        <f t="shared" si="82"/>
        <v>0</v>
      </c>
      <c r="CB122" s="44">
        <f t="shared" si="82"/>
        <v>0</v>
      </c>
      <c r="CC122" s="44">
        <f t="shared" si="82"/>
        <v>0</v>
      </c>
      <c r="CD122" s="44">
        <f t="shared" si="82"/>
        <v>0</v>
      </c>
      <c r="CE122" s="46">
        <f t="shared" si="93"/>
        <v>0.91568744210526321</v>
      </c>
      <c r="CF122" s="44">
        <f t="shared" si="94"/>
        <v>173980614</v>
      </c>
      <c r="CG122" s="44"/>
      <c r="CH122" s="44">
        <f>+'[3]Acuerdo PLAN INVERSIÓN 2021'!$H$3667</f>
        <v>90046667</v>
      </c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>
        <f>+'[6]Acuerdo PLAN INVERSIÓN 2021'!$H$6160+'[6]Acuerdo PLAN INVERSIÓN 2021'!$H$6163+'[6]Acuerdo PLAN INVERSIÓN 2021'!$H$6170+'[6]Acuerdo PLAN INVERSIÓN 2021'!$H$6173</f>
        <v>83933947</v>
      </c>
      <c r="CY122" s="44"/>
      <c r="CZ122" s="44"/>
      <c r="DA122" s="44"/>
      <c r="DB122" s="44"/>
      <c r="DC122" s="44"/>
      <c r="DD122" s="46">
        <f t="shared" si="56"/>
        <v>8.4312557894736795E-2</v>
      </c>
      <c r="DE122" s="44">
        <f t="shared" si="83"/>
        <v>16019386</v>
      </c>
      <c r="DF122" s="44">
        <f t="shared" si="91"/>
        <v>0</v>
      </c>
      <c r="DG122" s="44">
        <f t="shared" si="91"/>
        <v>9953333</v>
      </c>
      <c r="DH122" s="44">
        <f t="shared" si="91"/>
        <v>0</v>
      </c>
      <c r="DI122" s="44">
        <f t="shared" si="91"/>
        <v>0</v>
      </c>
      <c r="DJ122" s="44">
        <f t="shared" si="91"/>
        <v>0</v>
      </c>
      <c r="DK122" s="44">
        <f t="shared" si="91"/>
        <v>0</v>
      </c>
      <c r="DL122" s="44">
        <f t="shared" si="91"/>
        <v>0</v>
      </c>
      <c r="DM122" s="44">
        <f t="shared" si="91"/>
        <v>0</v>
      </c>
      <c r="DN122" s="44">
        <f t="shared" si="91"/>
        <v>0</v>
      </c>
      <c r="DO122" s="44">
        <f t="shared" si="91"/>
        <v>0</v>
      </c>
      <c r="DP122" s="44">
        <f t="shared" si="91"/>
        <v>0</v>
      </c>
      <c r="DQ122" s="44">
        <f t="shared" si="91"/>
        <v>0</v>
      </c>
      <c r="DR122" s="44">
        <f t="shared" si="91"/>
        <v>0</v>
      </c>
      <c r="DS122" s="44">
        <f t="shared" si="91"/>
        <v>0</v>
      </c>
      <c r="DT122" s="44">
        <f t="shared" si="91"/>
        <v>0</v>
      </c>
      <c r="DU122" s="44">
        <f t="shared" si="89"/>
        <v>0</v>
      </c>
      <c r="DV122" s="44">
        <f t="shared" si="85"/>
        <v>0</v>
      </c>
      <c r="DW122" s="44">
        <f t="shared" si="85"/>
        <v>6066053</v>
      </c>
      <c r="DX122" s="44">
        <f t="shared" si="85"/>
        <v>0</v>
      </c>
      <c r="DY122" s="44">
        <f t="shared" si="85"/>
        <v>0</v>
      </c>
      <c r="DZ122" s="44">
        <f t="shared" si="85"/>
        <v>0</v>
      </c>
      <c r="EA122" s="44">
        <f t="shared" si="85"/>
        <v>0</v>
      </c>
      <c r="EB122" s="44">
        <f t="shared" si="85"/>
        <v>0</v>
      </c>
      <c r="EE122" s="75">
        <f t="shared" si="86"/>
        <v>190000000</v>
      </c>
      <c r="EF122" s="75">
        <f t="shared" si="72"/>
        <v>173980614</v>
      </c>
    </row>
    <row r="123" spans="1:136" ht="21.75" hidden="1" customHeight="1" x14ac:dyDescent="0.25">
      <c r="A123" s="50"/>
      <c r="B123" s="121"/>
      <c r="C123" s="83" t="s">
        <v>352</v>
      </c>
      <c r="D123" s="54" t="s">
        <v>353</v>
      </c>
      <c r="E123" s="122">
        <v>510</v>
      </c>
      <c r="F123" s="43" t="s">
        <v>240</v>
      </c>
      <c r="G123" s="44">
        <f t="shared" si="80"/>
        <v>194900000</v>
      </c>
      <c r="H123" s="45">
        <v>200000000</v>
      </c>
      <c r="I123" s="45">
        <f t="shared" si="87"/>
        <v>5100000</v>
      </c>
      <c r="J123" s="78"/>
      <c r="K123" s="44">
        <f>90000000+10000000</f>
        <v>100000000</v>
      </c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>
        <f>75000000+9900000</f>
        <v>84900000</v>
      </c>
      <c r="AB123" s="44">
        <v>10000000</v>
      </c>
      <c r="AC123" s="44"/>
      <c r="AD123" s="44"/>
      <c r="AE123" s="44"/>
      <c r="AF123" s="44"/>
      <c r="AG123" s="46">
        <f t="shared" si="55"/>
        <v>1</v>
      </c>
      <c r="AH123" s="44">
        <f t="shared" si="92"/>
        <v>194900000</v>
      </c>
      <c r="AI123" s="44"/>
      <c r="AJ123" s="44">
        <f>+'[6]Acuerdo PLAN INVERSIÓN 2021'!$J$6182</f>
        <v>100000000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>
        <f>+'[6]Acuerdo PLAN INVERSIÓN 2021'!$X$6182</f>
        <v>84900000</v>
      </c>
      <c r="BA123" s="44">
        <f>+'[6]Acuerdo PLAN INVERSIÓN 2021'!$Y$6182</f>
        <v>10000000</v>
      </c>
      <c r="BB123" s="44"/>
      <c r="BC123" s="44"/>
      <c r="BD123" s="44"/>
      <c r="BE123" s="44"/>
      <c r="BF123" s="46">
        <f t="shared" si="57"/>
        <v>0</v>
      </c>
      <c r="BG123" s="44">
        <f t="shared" si="64"/>
        <v>0</v>
      </c>
      <c r="BH123" s="44">
        <f t="shared" si="90"/>
        <v>0</v>
      </c>
      <c r="BI123" s="44">
        <f t="shared" si="90"/>
        <v>0</v>
      </c>
      <c r="BJ123" s="44">
        <f t="shared" si="90"/>
        <v>0</v>
      </c>
      <c r="BK123" s="44">
        <f t="shared" si="90"/>
        <v>0</v>
      </c>
      <c r="BL123" s="44">
        <f t="shared" si="90"/>
        <v>0</v>
      </c>
      <c r="BM123" s="44">
        <f t="shared" si="90"/>
        <v>0</v>
      </c>
      <c r="BN123" s="44">
        <f t="shared" si="90"/>
        <v>0</v>
      </c>
      <c r="BO123" s="44">
        <f t="shared" si="90"/>
        <v>0</v>
      </c>
      <c r="BP123" s="44">
        <f t="shared" si="90"/>
        <v>0</v>
      </c>
      <c r="BQ123" s="44">
        <f t="shared" si="90"/>
        <v>0</v>
      </c>
      <c r="BR123" s="44">
        <f t="shared" si="90"/>
        <v>0</v>
      </c>
      <c r="BS123" s="44">
        <f t="shared" si="90"/>
        <v>0</v>
      </c>
      <c r="BT123" s="44">
        <f t="shared" si="90"/>
        <v>0</v>
      </c>
      <c r="BU123" s="44">
        <f t="shared" si="90"/>
        <v>0</v>
      </c>
      <c r="BV123" s="44">
        <f t="shared" si="90"/>
        <v>0</v>
      </c>
      <c r="BW123" s="44">
        <f t="shared" si="88"/>
        <v>0</v>
      </c>
      <c r="BX123" s="44">
        <f t="shared" si="82"/>
        <v>0</v>
      </c>
      <c r="BY123" s="44">
        <f t="shared" si="82"/>
        <v>0</v>
      </c>
      <c r="BZ123" s="44">
        <f t="shared" si="82"/>
        <v>0</v>
      </c>
      <c r="CA123" s="44">
        <f t="shared" si="82"/>
        <v>0</v>
      </c>
      <c r="CB123" s="44">
        <f t="shared" si="82"/>
        <v>0</v>
      </c>
      <c r="CC123" s="44">
        <f t="shared" si="82"/>
        <v>0</v>
      </c>
      <c r="CD123" s="44">
        <f t="shared" si="82"/>
        <v>0</v>
      </c>
      <c r="CE123" s="46">
        <f t="shared" si="93"/>
        <v>0.99638786044125194</v>
      </c>
      <c r="CF123" s="44">
        <f t="shared" si="94"/>
        <v>194195994</v>
      </c>
      <c r="CG123" s="44"/>
      <c r="CH123" s="44">
        <f>+'[6]Acuerdo PLAN INVERSIÓN 2021'!$H$6183+'[6]Acuerdo PLAN INVERSIÓN 2021'!$H$6194+'[6]Acuerdo PLAN INVERSIÓN 2021'!$H$6234+'[6]Acuerdo PLAN INVERSIÓN 2021'!$H$6237</f>
        <v>99999997</v>
      </c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>
        <f>+'[6]Acuerdo PLAN INVERSIÓN 2021'!$H$6197+'[6]Acuerdo PLAN INVERSIÓN 2021'!$H$6202+'[6]Acuerdo PLAN INVERSIÓN 2021'!$H$6206+'[6]Acuerdo PLAN INVERSIÓN 2021'!$H$6211+'[6]Acuerdo PLAN INVERSIÓN 2021'!$H$6215+'[6]Acuerdo PLAN INVERSIÓN 2021'!$H$6218+'[6]Acuerdo PLAN INVERSIÓN 2021'!$H$6222+'[6]Acuerdo PLAN INVERSIÓN 2021'!$H$6231+'[5]Acuerdo PLAN INVERSIÓN 2021'!$H$7251</f>
        <v>84195997</v>
      </c>
      <c r="CY123" s="44">
        <f>+'[6]Acuerdo PLAN INVERSIÓN 2021'!$H$6242</f>
        <v>10000000</v>
      </c>
      <c r="CZ123" s="44"/>
      <c r="DA123" s="44"/>
      <c r="DB123" s="44"/>
      <c r="DC123" s="44"/>
      <c r="DD123" s="46">
        <f t="shared" si="56"/>
        <v>3.612139558748062E-3</v>
      </c>
      <c r="DE123" s="44">
        <f t="shared" si="83"/>
        <v>704006</v>
      </c>
      <c r="DF123" s="44">
        <f t="shared" si="91"/>
        <v>0</v>
      </c>
      <c r="DG123" s="44">
        <f t="shared" si="91"/>
        <v>3</v>
      </c>
      <c r="DH123" s="44">
        <f t="shared" si="91"/>
        <v>0</v>
      </c>
      <c r="DI123" s="44">
        <f t="shared" si="91"/>
        <v>0</v>
      </c>
      <c r="DJ123" s="44">
        <f t="shared" si="91"/>
        <v>0</v>
      </c>
      <c r="DK123" s="44">
        <f t="shared" si="91"/>
        <v>0</v>
      </c>
      <c r="DL123" s="44">
        <f t="shared" si="91"/>
        <v>0</v>
      </c>
      <c r="DM123" s="44">
        <f t="shared" si="91"/>
        <v>0</v>
      </c>
      <c r="DN123" s="44">
        <f t="shared" si="91"/>
        <v>0</v>
      </c>
      <c r="DO123" s="44">
        <f t="shared" si="91"/>
        <v>0</v>
      </c>
      <c r="DP123" s="44">
        <f t="shared" si="91"/>
        <v>0</v>
      </c>
      <c r="DQ123" s="44">
        <f t="shared" si="91"/>
        <v>0</v>
      </c>
      <c r="DR123" s="44">
        <f t="shared" si="91"/>
        <v>0</v>
      </c>
      <c r="DS123" s="44">
        <f t="shared" si="91"/>
        <v>0</v>
      </c>
      <c r="DT123" s="44">
        <f t="shared" si="91"/>
        <v>0</v>
      </c>
      <c r="DU123" s="44">
        <f t="shared" si="89"/>
        <v>0</v>
      </c>
      <c r="DV123" s="44">
        <f t="shared" si="85"/>
        <v>0</v>
      </c>
      <c r="DW123" s="44">
        <f t="shared" si="85"/>
        <v>704003</v>
      </c>
      <c r="DX123" s="44">
        <f t="shared" si="85"/>
        <v>0</v>
      </c>
      <c r="DY123" s="44">
        <f t="shared" si="85"/>
        <v>0</v>
      </c>
      <c r="DZ123" s="44">
        <f t="shared" si="85"/>
        <v>0</v>
      </c>
      <c r="EA123" s="44">
        <f t="shared" si="85"/>
        <v>0</v>
      </c>
      <c r="EB123" s="44">
        <f t="shared" si="85"/>
        <v>0</v>
      </c>
      <c r="EE123" s="75">
        <f t="shared" si="86"/>
        <v>194900000</v>
      </c>
      <c r="EF123" s="75">
        <f t="shared" si="72"/>
        <v>194195994</v>
      </c>
    </row>
    <row r="124" spans="1:136" ht="32.450000000000003" hidden="1" customHeight="1" x14ac:dyDescent="0.25">
      <c r="A124" s="50"/>
      <c r="B124" s="121"/>
      <c r="C124" s="83" t="s">
        <v>354</v>
      </c>
      <c r="D124" s="54" t="s">
        <v>355</v>
      </c>
      <c r="E124" s="122">
        <v>510</v>
      </c>
      <c r="F124" s="43" t="s">
        <v>240</v>
      </c>
      <c r="G124" s="44">
        <f t="shared" si="80"/>
        <v>90000000</v>
      </c>
      <c r="H124" s="45">
        <v>200000000</v>
      </c>
      <c r="I124" s="45">
        <f t="shared" si="87"/>
        <v>110000000</v>
      </c>
      <c r="J124" s="78"/>
      <c r="K124" s="44">
        <v>60000000</v>
      </c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>
        <f>30000000</f>
        <v>30000000</v>
      </c>
      <c r="AC124" s="44"/>
      <c r="AD124" s="44"/>
      <c r="AE124" s="44"/>
      <c r="AF124" s="44"/>
      <c r="AG124" s="46">
        <f t="shared" si="55"/>
        <v>1</v>
      </c>
      <c r="AH124" s="44">
        <f t="shared" si="92"/>
        <v>90000000</v>
      </c>
      <c r="AI124" s="44"/>
      <c r="AJ124" s="44">
        <f>+'[2]Acuerdo PLAN INVERSIÓN 2021'!$J$4294</f>
        <v>60000000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>
        <f>+'[2]Acuerdo PLAN INVERSIÓN 2021'!$Y$4294</f>
        <v>30000000</v>
      </c>
      <c r="BB124" s="44"/>
      <c r="BC124" s="44"/>
      <c r="BD124" s="44"/>
      <c r="BE124" s="44"/>
      <c r="BF124" s="46">
        <f t="shared" si="57"/>
        <v>0</v>
      </c>
      <c r="BG124" s="44">
        <f t="shared" si="64"/>
        <v>0</v>
      </c>
      <c r="BH124" s="44">
        <f t="shared" si="90"/>
        <v>0</v>
      </c>
      <c r="BI124" s="44">
        <f t="shared" si="90"/>
        <v>0</v>
      </c>
      <c r="BJ124" s="44">
        <f t="shared" si="90"/>
        <v>0</v>
      </c>
      <c r="BK124" s="44">
        <f t="shared" si="90"/>
        <v>0</v>
      </c>
      <c r="BL124" s="44">
        <f t="shared" si="90"/>
        <v>0</v>
      </c>
      <c r="BM124" s="44">
        <f t="shared" si="90"/>
        <v>0</v>
      </c>
      <c r="BN124" s="44">
        <f t="shared" si="90"/>
        <v>0</v>
      </c>
      <c r="BO124" s="44">
        <f t="shared" si="90"/>
        <v>0</v>
      </c>
      <c r="BP124" s="44">
        <f t="shared" si="90"/>
        <v>0</v>
      </c>
      <c r="BQ124" s="44">
        <f t="shared" si="90"/>
        <v>0</v>
      </c>
      <c r="BR124" s="44">
        <f t="shared" si="90"/>
        <v>0</v>
      </c>
      <c r="BS124" s="44">
        <f t="shared" si="90"/>
        <v>0</v>
      </c>
      <c r="BT124" s="44">
        <f t="shared" si="90"/>
        <v>0</v>
      </c>
      <c r="BU124" s="44">
        <f t="shared" si="90"/>
        <v>0</v>
      </c>
      <c r="BV124" s="44">
        <f t="shared" si="90"/>
        <v>0</v>
      </c>
      <c r="BW124" s="44">
        <f t="shared" si="88"/>
        <v>0</v>
      </c>
      <c r="BX124" s="44">
        <f t="shared" si="82"/>
        <v>0</v>
      </c>
      <c r="BY124" s="44">
        <f t="shared" si="82"/>
        <v>0</v>
      </c>
      <c r="BZ124" s="44">
        <f t="shared" si="82"/>
        <v>0</v>
      </c>
      <c r="CA124" s="44">
        <f t="shared" si="82"/>
        <v>0</v>
      </c>
      <c r="CB124" s="44">
        <f t="shared" si="82"/>
        <v>0</v>
      </c>
      <c r="CC124" s="44">
        <f t="shared" si="82"/>
        <v>0</v>
      </c>
      <c r="CD124" s="44">
        <f t="shared" si="82"/>
        <v>0</v>
      </c>
      <c r="CE124" s="46">
        <f t="shared" si="93"/>
        <v>0.99592593333333335</v>
      </c>
      <c r="CF124" s="44">
        <f t="shared" si="94"/>
        <v>89633334</v>
      </c>
      <c r="CG124" s="44"/>
      <c r="CH124" s="44">
        <f>+'[1]Acuerdo PLAN INVERSIÓN 2021'!$H$5200+'[1]Acuerdo PLAN INVERSIÓN 2021'!$H$5205</f>
        <v>59633334</v>
      </c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>
        <f>+'[1]Acuerdo PLAN INVERSIÓN 2021'!$H$5208</f>
        <v>30000000</v>
      </c>
      <c r="CZ124" s="44"/>
      <c r="DA124" s="44"/>
      <c r="DB124" s="44"/>
      <c r="DC124" s="44"/>
      <c r="DD124" s="46">
        <f t="shared" si="56"/>
        <v>4.0740666666666536E-3</v>
      </c>
      <c r="DE124" s="44">
        <f t="shared" si="83"/>
        <v>366666</v>
      </c>
      <c r="DF124" s="44">
        <f t="shared" si="91"/>
        <v>0</v>
      </c>
      <c r="DG124" s="44">
        <f t="shared" si="91"/>
        <v>366666</v>
      </c>
      <c r="DH124" s="44">
        <f t="shared" si="91"/>
        <v>0</v>
      </c>
      <c r="DI124" s="44">
        <f t="shared" si="91"/>
        <v>0</v>
      </c>
      <c r="DJ124" s="44">
        <f t="shared" si="91"/>
        <v>0</v>
      </c>
      <c r="DK124" s="44">
        <f t="shared" si="91"/>
        <v>0</v>
      </c>
      <c r="DL124" s="44">
        <f t="shared" si="91"/>
        <v>0</v>
      </c>
      <c r="DM124" s="44">
        <f t="shared" si="91"/>
        <v>0</v>
      </c>
      <c r="DN124" s="44">
        <f t="shared" si="91"/>
        <v>0</v>
      </c>
      <c r="DO124" s="44">
        <f t="shared" si="91"/>
        <v>0</v>
      </c>
      <c r="DP124" s="44">
        <f t="shared" si="91"/>
        <v>0</v>
      </c>
      <c r="DQ124" s="44">
        <f t="shared" si="91"/>
        <v>0</v>
      </c>
      <c r="DR124" s="44">
        <f t="shared" si="91"/>
        <v>0</v>
      </c>
      <c r="DS124" s="44">
        <f t="shared" si="91"/>
        <v>0</v>
      </c>
      <c r="DT124" s="44">
        <f t="shared" si="91"/>
        <v>0</v>
      </c>
      <c r="DU124" s="44">
        <f t="shared" si="89"/>
        <v>0</v>
      </c>
      <c r="DV124" s="44">
        <f t="shared" si="85"/>
        <v>0</v>
      </c>
      <c r="DW124" s="44">
        <f t="shared" si="85"/>
        <v>0</v>
      </c>
      <c r="DX124" s="44">
        <f t="shared" si="85"/>
        <v>0</v>
      </c>
      <c r="DY124" s="44">
        <f t="shared" si="85"/>
        <v>0</v>
      </c>
      <c r="DZ124" s="44">
        <f t="shared" si="85"/>
        <v>0</v>
      </c>
      <c r="EA124" s="44">
        <f t="shared" si="85"/>
        <v>0</v>
      </c>
      <c r="EB124" s="44">
        <f t="shared" si="85"/>
        <v>0</v>
      </c>
      <c r="ED124" s="203"/>
      <c r="EE124" s="75">
        <f t="shared" si="86"/>
        <v>90000000</v>
      </c>
      <c r="EF124" s="75">
        <f t="shared" si="72"/>
        <v>89633334</v>
      </c>
    </row>
    <row r="125" spans="1:136" ht="27.75" hidden="1" customHeight="1" x14ac:dyDescent="0.25">
      <c r="A125" s="50"/>
      <c r="B125" s="121"/>
      <c r="C125" s="83" t="s">
        <v>356</v>
      </c>
      <c r="D125" s="54" t="s">
        <v>357</v>
      </c>
      <c r="E125" s="122">
        <v>510</v>
      </c>
      <c r="F125" s="43" t="s">
        <v>358</v>
      </c>
      <c r="G125" s="44">
        <f t="shared" si="80"/>
        <v>22700000</v>
      </c>
      <c r="H125" s="45">
        <v>200000000</v>
      </c>
      <c r="I125" s="45">
        <f t="shared" si="87"/>
        <v>177300000</v>
      </c>
      <c r="J125" s="78"/>
      <c r="K125" s="44">
        <f>30000000-23300000</f>
        <v>6700000</v>
      </c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>
        <f>8000000+3200000+3200000+1600000</f>
        <v>16000000</v>
      </c>
      <c r="AG125" s="46">
        <f t="shared" si="55"/>
        <v>1</v>
      </c>
      <c r="AH125" s="44">
        <f t="shared" si="92"/>
        <v>22700000</v>
      </c>
      <c r="AI125" s="44"/>
      <c r="AJ125" s="44">
        <f>+'[6]Acuerdo PLAN INVERSIÓN 2021'!$J$6263</f>
        <v>6700000</v>
      </c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>
        <f>+'[1]Acuerdo PLAN INVERSIÓN 2021'!$AF$5214+'[5]Acuerdo PLAN INVERSIÓN 2021'!$G$7300</f>
        <v>16000000</v>
      </c>
      <c r="BF125" s="46">
        <f t="shared" si="57"/>
        <v>0</v>
      </c>
      <c r="BG125" s="44">
        <f t="shared" si="64"/>
        <v>0</v>
      </c>
      <c r="BH125" s="44">
        <f t="shared" si="90"/>
        <v>0</v>
      </c>
      <c r="BI125" s="44">
        <f t="shared" si="90"/>
        <v>0</v>
      </c>
      <c r="BJ125" s="44">
        <f t="shared" si="90"/>
        <v>0</v>
      </c>
      <c r="BK125" s="44">
        <f t="shared" si="90"/>
        <v>0</v>
      </c>
      <c r="BL125" s="44">
        <f t="shared" si="90"/>
        <v>0</v>
      </c>
      <c r="BM125" s="44">
        <f t="shared" si="90"/>
        <v>0</v>
      </c>
      <c r="BN125" s="44">
        <f t="shared" si="90"/>
        <v>0</v>
      </c>
      <c r="BO125" s="44">
        <f t="shared" si="90"/>
        <v>0</v>
      </c>
      <c r="BP125" s="44">
        <f t="shared" si="90"/>
        <v>0</v>
      </c>
      <c r="BQ125" s="44">
        <f t="shared" si="90"/>
        <v>0</v>
      </c>
      <c r="BR125" s="44">
        <f t="shared" si="90"/>
        <v>0</v>
      </c>
      <c r="BS125" s="44">
        <f t="shared" si="90"/>
        <v>0</v>
      </c>
      <c r="BT125" s="44">
        <f t="shared" si="90"/>
        <v>0</v>
      </c>
      <c r="BU125" s="44">
        <f t="shared" si="90"/>
        <v>0</v>
      </c>
      <c r="BV125" s="44">
        <f t="shared" si="90"/>
        <v>0</v>
      </c>
      <c r="BW125" s="44">
        <f t="shared" si="88"/>
        <v>0</v>
      </c>
      <c r="BX125" s="44">
        <f t="shared" si="82"/>
        <v>0</v>
      </c>
      <c r="BY125" s="44">
        <f t="shared" si="82"/>
        <v>0</v>
      </c>
      <c r="BZ125" s="44">
        <f t="shared" si="82"/>
        <v>0</v>
      </c>
      <c r="CA125" s="44">
        <f t="shared" si="82"/>
        <v>0</v>
      </c>
      <c r="CB125" s="44">
        <f t="shared" si="82"/>
        <v>0</v>
      </c>
      <c r="CC125" s="44">
        <f t="shared" si="82"/>
        <v>0</v>
      </c>
      <c r="CD125" s="44">
        <f t="shared" si="82"/>
        <v>0</v>
      </c>
      <c r="CE125" s="46">
        <f t="shared" si="93"/>
        <v>0.96035242290748901</v>
      </c>
      <c r="CF125" s="44">
        <f t="shared" si="94"/>
        <v>21800000</v>
      </c>
      <c r="CG125" s="44"/>
      <c r="CH125" s="44">
        <f>+'[6]Acuerdo PLAN INVERSIÓN 2021'!$H$6273</f>
        <v>5800000</v>
      </c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>
        <f>+'[1]Acuerdo PLAN INVERSIÓN 2021'!$H$5212+'[5]Acuerdo PLAN INVERSIÓN 2021'!$H$7301</f>
        <v>16000000</v>
      </c>
      <c r="DD125" s="46">
        <f t="shared" si="56"/>
        <v>3.9647577092510988E-2</v>
      </c>
      <c r="DE125" s="44">
        <f t="shared" si="83"/>
        <v>900000</v>
      </c>
      <c r="DF125" s="44">
        <f t="shared" si="91"/>
        <v>0</v>
      </c>
      <c r="DG125" s="44">
        <f t="shared" si="91"/>
        <v>900000</v>
      </c>
      <c r="DH125" s="44">
        <f t="shared" si="91"/>
        <v>0</v>
      </c>
      <c r="DI125" s="44">
        <f t="shared" si="91"/>
        <v>0</v>
      </c>
      <c r="DJ125" s="44">
        <f t="shared" si="91"/>
        <v>0</v>
      </c>
      <c r="DK125" s="44">
        <f t="shared" si="91"/>
        <v>0</v>
      </c>
      <c r="DL125" s="44">
        <f t="shared" si="91"/>
        <v>0</v>
      </c>
      <c r="DM125" s="44">
        <f t="shared" si="91"/>
        <v>0</v>
      </c>
      <c r="DN125" s="44">
        <f t="shared" si="91"/>
        <v>0</v>
      </c>
      <c r="DO125" s="44">
        <f t="shared" si="91"/>
        <v>0</v>
      </c>
      <c r="DP125" s="44">
        <f t="shared" si="91"/>
        <v>0</v>
      </c>
      <c r="DQ125" s="44">
        <f t="shared" si="91"/>
        <v>0</v>
      </c>
      <c r="DR125" s="44">
        <f t="shared" si="91"/>
        <v>0</v>
      </c>
      <c r="DS125" s="44">
        <f t="shared" si="91"/>
        <v>0</v>
      </c>
      <c r="DT125" s="44">
        <f t="shared" si="91"/>
        <v>0</v>
      </c>
      <c r="DU125" s="44">
        <f t="shared" si="89"/>
        <v>0</v>
      </c>
      <c r="DV125" s="44">
        <f t="shared" si="85"/>
        <v>0</v>
      </c>
      <c r="DW125" s="44">
        <f t="shared" si="85"/>
        <v>0</v>
      </c>
      <c r="DX125" s="44">
        <f t="shared" si="85"/>
        <v>0</v>
      </c>
      <c r="DY125" s="44">
        <f t="shared" si="85"/>
        <v>0</v>
      </c>
      <c r="DZ125" s="44">
        <f t="shared" si="85"/>
        <v>0</v>
      </c>
      <c r="EA125" s="44">
        <f t="shared" si="85"/>
        <v>0</v>
      </c>
      <c r="EB125" s="44">
        <f t="shared" si="85"/>
        <v>0</v>
      </c>
      <c r="EE125" s="75">
        <f t="shared" si="86"/>
        <v>22700000</v>
      </c>
      <c r="EF125" s="75">
        <f t="shared" si="72"/>
        <v>21800000</v>
      </c>
    </row>
    <row r="126" spans="1:136" ht="26.25" hidden="1" customHeight="1" x14ac:dyDescent="0.25">
      <c r="A126" s="50"/>
      <c r="B126" s="121"/>
      <c r="C126" s="83" t="s">
        <v>359</v>
      </c>
      <c r="D126" s="54" t="s">
        <v>360</v>
      </c>
      <c r="E126" s="122">
        <v>510</v>
      </c>
      <c r="F126" s="43" t="s">
        <v>240</v>
      </c>
      <c r="G126" s="44">
        <f t="shared" si="80"/>
        <v>240000000</v>
      </c>
      <c r="H126" s="45">
        <v>200000000</v>
      </c>
      <c r="I126" s="45">
        <f t="shared" si="87"/>
        <v>-40000000</v>
      </c>
      <c r="J126" s="78"/>
      <c r="K126" s="44">
        <v>60000000</v>
      </c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>
        <f>60000000+40000000</f>
        <v>100000000</v>
      </c>
      <c r="AB126" s="44">
        <f>30000000+50000000</f>
        <v>80000000</v>
      </c>
      <c r="AC126" s="44"/>
      <c r="AD126" s="44"/>
      <c r="AE126" s="44"/>
      <c r="AF126" s="44"/>
      <c r="AG126" s="46">
        <f t="shared" si="55"/>
        <v>1</v>
      </c>
      <c r="AH126" s="44">
        <f t="shared" si="92"/>
        <v>240000000</v>
      </c>
      <c r="AI126" s="44"/>
      <c r="AJ126" s="44">
        <f>+'[10]Acuerdo PLAN INVERSIÓN 2021'!$G$1150</f>
        <v>60000000</v>
      </c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>
        <f>+'[2]Acuerdo PLAN INVERSIÓN 2021'!$X$4315</f>
        <v>100000000</v>
      </c>
      <c r="BA126" s="44">
        <f>+'[2]Acuerdo PLAN INVERSIÓN 2021'!$Y$4315</f>
        <v>80000000</v>
      </c>
      <c r="BB126" s="44"/>
      <c r="BC126" s="44"/>
      <c r="BD126" s="44"/>
      <c r="BE126" s="44"/>
      <c r="BF126" s="46">
        <f t="shared" si="57"/>
        <v>0</v>
      </c>
      <c r="BG126" s="44">
        <f t="shared" si="64"/>
        <v>0</v>
      </c>
      <c r="BH126" s="44">
        <f t="shared" si="90"/>
        <v>0</v>
      </c>
      <c r="BI126" s="44">
        <f t="shared" si="90"/>
        <v>0</v>
      </c>
      <c r="BJ126" s="44">
        <f t="shared" si="90"/>
        <v>0</v>
      </c>
      <c r="BK126" s="44">
        <f t="shared" si="90"/>
        <v>0</v>
      </c>
      <c r="BL126" s="44">
        <f t="shared" si="90"/>
        <v>0</v>
      </c>
      <c r="BM126" s="44">
        <f t="shared" si="90"/>
        <v>0</v>
      </c>
      <c r="BN126" s="44">
        <f t="shared" si="90"/>
        <v>0</v>
      </c>
      <c r="BO126" s="44">
        <f t="shared" si="90"/>
        <v>0</v>
      </c>
      <c r="BP126" s="44">
        <f t="shared" si="90"/>
        <v>0</v>
      </c>
      <c r="BQ126" s="44">
        <f t="shared" si="90"/>
        <v>0</v>
      </c>
      <c r="BR126" s="44">
        <f t="shared" si="90"/>
        <v>0</v>
      </c>
      <c r="BS126" s="44">
        <f t="shared" si="90"/>
        <v>0</v>
      </c>
      <c r="BT126" s="44">
        <f t="shared" si="90"/>
        <v>0</v>
      </c>
      <c r="BU126" s="44">
        <f t="shared" si="90"/>
        <v>0</v>
      </c>
      <c r="BV126" s="44">
        <f t="shared" si="90"/>
        <v>0</v>
      </c>
      <c r="BW126" s="44">
        <f t="shared" si="88"/>
        <v>0</v>
      </c>
      <c r="BX126" s="44">
        <f t="shared" si="82"/>
        <v>0</v>
      </c>
      <c r="BY126" s="44">
        <f t="shared" si="82"/>
        <v>0</v>
      </c>
      <c r="BZ126" s="44">
        <f t="shared" si="82"/>
        <v>0</v>
      </c>
      <c r="CA126" s="44">
        <f t="shared" si="82"/>
        <v>0</v>
      </c>
      <c r="CB126" s="44">
        <f t="shared" si="82"/>
        <v>0</v>
      </c>
      <c r="CC126" s="44">
        <f t="shared" si="82"/>
        <v>0</v>
      </c>
      <c r="CD126" s="44">
        <f t="shared" si="82"/>
        <v>0</v>
      </c>
      <c r="CE126" s="46">
        <f t="shared" si="93"/>
        <v>0.93637018333333333</v>
      </c>
      <c r="CF126" s="44">
        <f t="shared" si="94"/>
        <v>224728844</v>
      </c>
      <c r="CG126" s="44"/>
      <c r="CH126" s="44">
        <f>+'[6]Acuerdo PLAN INVERSIÓN 2021'!$H$6279+'[6]Acuerdo PLAN INVERSIÓN 2021'!$H$6282+'[6]Acuerdo PLAN INVERSIÓN 2021'!$H$6285</f>
        <v>60000000</v>
      </c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>
        <f>+'[6]Acuerdo PLAN INVERSIÓN 2021'!$H$6293+'[6]Acuerdo PLAN INVERSIÓN 2021'!$H$6305+'[6]Acuerdo PLAN INVERSIÓN 2021'!$H$6321+'[6]Acuerdo PLAN INVERSIÓN 2021'!$H$6326+'[6]Acuerdo PLAN INVERSIÓN 2021'!$H$6329</f>
        <v>96884512</v>
      </c>
      <c r="CY126" s="44">
        <f>+'[6]Acuerdo PLAN INVERSIÓN 2021'!$H$6310+'[6]Acuerdo PLAN INVERSIÓN 2021'!$H$6314+'[6]Acuerdo PLAN INVERSIÓN 2021'!$H$6317+'[6]Acuerdo PLAN INVERSIÓN 2021'!$H$6332+'[6]Acuerdo PLAN INVERSIÓN 2021'!$H$6336+'[6]Acuerdo PLAN INVERSIÓN 2021'!$H$6339</f>
        <v>67844332</v>
      </c>
      <c r="CZ126" s="44"/>
      <c r="DA126" s="44"/>
      <c r="DB126" s="44"/>
      <c r="DC126" s="44"/>
      <c r="DD126" s="46">
        <f t="shared" si="56"/>
        <v>6.3629816666666672E-2</v>
      </c>
      <c r="DE126" s="44">
        <f t="shared" si="83"/>
        <v>15271156</v>
      </c>
      <c r="DF126" s="44">
        <f t="shared" si="91"/>
        <v>0</v>
      </c>
      <c r="DG126" s="44">
        <f t="shared" si="91"/>
        <v>0</v>
      </c>
      <c r="DH126" s="44">
        <f t="shared" si="91"/>
        <v>0</v>
      </c>
      <c r="DI126" s="44">
        <f t="shared" si="91"/>
        <v>0</v>
      </c>
      <c r="DJ126" s="44">
        <f t="shared" si="91"/>
        <v>0</v>
      </c>
      <c r="DK126" s="44">
        <f t="shared" si="91"/>
        <v>0</v>
      </c>
      <c r="DL126" s="44">
        <f t="shared" si="91"/>
        <v>0</v>
      </c>
      <c r="DM126" s="44">
        <f t="shared" si="91"/>
        <v>0</v>
      </c>
      <c r="DN126" s="44">
        <f t="shared" si="91"/>
        <v>0</v>
      </c>
      <c r="DO126" s="44">
        <f t="shared" si="91"/>
        <v>0</v>
      </c>
      <c r="DP126" s="44">
        <f t="shared" si="91"/>
        <v>0</v>
      </c>
      <c r="DQ126" s="44">
        <f t="shared" si="91"/>
        <v>0</v>
      </c>
      <c r="DR126" s="44">
        <f t="shared" si="91"/>
        <v>0</v>
      </c>
      <c r="DS126" s="44">
        <f t="shared" si="91"/>
        <v>0</v>
      </c>
      <c r="DT126" s="44">
        <f t="shared" si="91"/>
        <v>0</v>
      </c>
      <c r="DU126" s="44">
        <f t="shared" si="89"/>
        <v>0</v>
      </c>
      <c r="DV126" s="44">
        <f t="shared" si="85"/>
        <v>0</v>
      </c>
      <c r="DW126" s="44">
        <f t="shared" si="85"/>
        <v>3115488</v>
      </c>
      <c r="DX126" s="44">
        <f t="shared" si="85"/>
        <v>12155668</v>
      </c>
      <c r="DY126" s="44">
        <f t="shared" si="85"/>
        <v>0</v>
      </c>
      <c r="DZ126" s="44">
        <f t="shared" si="85"/>
        <v>0</v>
      </c>
      <c r="EA126" s="44">
        <f t="shared" si="85"/>
        <v>0</v>
      </c>
      <c r="EB126" s="44">
        <f t="shared" si="85"/>
        <v>0</v>
      </c>
      <c r="EE126" s="75">
        <f t="shared" si="86"/>
        <v>240000000</v>
      </c>
      <c r="EF126" s="75">
        <f t="shared" si="72"/>
        <v>224728844</v>
      </c>
    </row>
    <row r="127" spans="1:136" ht="30.75" hidden="1" customHeight="1" x14ac:dyDescent="0.25">
      <c r="A127" s="50"/>
      <c r="B127" s="77" t="s">
        <v>361</v>
      </c>
      <c r="C127" s="83" t="s">
        <v>362</v>
      </c>
      <c r="D127" s="54" t="s">
        <v>363</v>
      </c>
      <c r="E127" s="122">
        <v>310</v>
      </c>
      <c r="F127" s="43" t="s">
        <v>240</v>
      </c>
      <c r="G127" s="44">
        <f t="shared" si="80"/>
        <v>68000471</v>
      </c>
      <c r="H127" s="45">
        <v>180000000</v>
      </c>
      <c r="I127" s="45">
        <f t="shared" si="87"/>
        <v>111999529</v>
      </c>
      <c r="J127" s="78"/>
      <c r="K127" s="44">
        <f>100000000-31999529</f>
        <v>68000471</v>
      </c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6">
        <f t="shared" si="55"/>
        <v>0.89705953654350423</v>
      </c>
      <c r="AH127" s="44">
        <f t="shared" si="92"/>
        <v>61000471</v>
      </c>
      <c r="AI127" s="44"/>
      <c r="AJ127" s="44">
        <f>+'[1]Acuerdo PLAN INVERSIÓN 2021'!$J$5293</f>
        <v>61000471</v>
      </c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6">
        <f t="shared" si="57"/>
        <v>0.10294046345649577</v>
      </c>
      <c r="BG127" s="44">
        <f t="shared" si="64"/>
        <v>7000000</v>
      </c>
      <c r="BH127" s="44">
        <f t="shared" si="90"/>
        <v>0</v>
      </c>
      <c r="BI127" s="44">
        <f t="shared" si="90"/>
        <v>7000000</v>
      </c>
      <c r="BJ127" s="44">
        <f t="shared" si="90"/>
        <v>0</v>
      </c>
      <c r="BK127" s="44">
        <f t="shared" si="90"/>
        <v>0</v>
      </c>
      <c r="BL127" s="44">
        <f t="shared" si="90"/>
        <v>0</v>
      </c>
      <c r="BM127" s="44">
        <f t="shared" si="90"/>
        <v>0</v>
      </c>
      <c r="BN127" s="44">
        <f t="shared" si="90"/>
        <v>0</v>
      </c>
      <c r="BO127" s="44">
        <f t="shared" si="90"/>
        <v>0</v>
      </c>
      <c r="BP127" s="44">
        <f t="shared" si="90"/>
        <v>0</v>
      </c>
      <c r="BQ127" s="44">
        <f t="shared" si="90"/>
        <v>0</v>
      </c>
      <c r="BR127" s="44">
        <f t="shared" si="90"/>
        <v>0</v>
      </c>
      <c r="BS127" s="44">
        <f t="shared" si="90"/>
        <v>0</v>
      </c>
      <c r="BT127" s="44">
        <f t="shared" si="90"/>
        <v>0</v>
      </c>
      <c r="BU127" s="44">
        <f t="shared" si="90"/>
        <v>0</v>
      </c>
      <c r="BV127" s="44">
        <f t="shared" si="90"/>
        <v>0</v>
      </c>
      <c r="BW127" s="44">
        <f t="shared" si="88"/>
        <v>0</v>
      </c>
      <c r="BX127" s="44">
        <f t="shared" si="82"/>
        <v>0</v>
      </c>
      <c r="BY127" s="44">
        <f t="shared" si="82"/>
        <v>0</v>
      </c>
      <c r="BZ127" s="44">
        <f t="shared" si="82"/>
        <v>0</v>
      </c>
      <c r="CA127" s="44">
        <f t="shared" si="82"/>
        <v>0</v>
      </c>
      <c r="CB127" s="44">
        <f t="shared" si="82"/>
        <v>0</v>
      </c>
      <c r="CC127" s="44">
        <f t="shared" si="82"/>
        <v>0</v>
      </c>
      <c r="CD127" s="44">
        <f t="shared" si="82"/>
        <v>0</v>
      </c>
      <c r="CE127" s="46">
        <f t="shared" si="93"/>
        <v>0.12395256791677223</v>
      </c>
      <c r="CF127" s="44">
        <f t="shared" si="94"/>
        <v>8428833</v>
      </c>
      <c r="CG127" s="44"/>
      <c r="CH127" s="44">
        <f>+'[3]Acuerdo PLAN INVERSIÓN 2021'!$H$3791+'[3]Acuerdo PLAN INVERSIÓN 2021'!$H$3795</f>
        <v>8428833</v>
      </c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6">
        <f t="shared" si="56"/>
        <v>0.87604743208322777</v>
      </c>
      <c r="DE127" s="44">
        <f t="shared" si="83"/>
        <v>59571638</v>
      </c>
      <c r="DF127" s="44">
        <f t="shared" si="91"/>
        <v>0</v>
      </c>
      <c r="DG127" s="44">
        <f t="shared" si="91"/>
        <v>59571638</v>
      </c>
      <c r="DH127" s="44">
        <f t="shared" si="91"/>
        <v>0</v>
      </c>
      <c r="DI127" s="44">
        <f t="shared" si="91"/>
        <v>0</v>
      </c>
      <c r="DJ127" s="44">
        <f t="shared" si="91"/>
        <v>0</v>
      </c>
      <c r="DK127" s="44">
        <f t="shared" si="91"/>
        <v>0</v>
      </c>
      <c r="DL127" s="44">
        <f t="shared" si="91"/>
        <v>0</v>
      </c>
      <c r="DM127" s="44">
        <f t="shared" si="91"/>
        <v>0</v>
      </c>
      <c r="DN127" s="44">
        <f t="shared" si="91"/>
        <v>0</v>
      </c>
      <c r="DO127" s="44">
        <f t="shared" si="91"/>
        <v>0</v>
      </c>
      <c r="DP127" s="44">
        <f t="shared" si="91"/>
        <v>0</v>
      </c>
      <c r="DQ127" s="44">
        <f t="shared" si="91"/>
        <v>0</v>
      </c>
      <c r="DR127" s="44">
        <f t="shared" si="91"/>
        <v>0</v>
      </c>
      <c r="DS127" s="44">
        <f t="shared" si="91"/>
        <v>0</v>
      </c>
      <c r="DT127" s="44">
        <f t="shared" si="91"/>
        <v>0</v>
      </c>
      <c r="DU127" s="44">
        <f t="shared" si="89"/>
        <v>0</v>
      </c>
      <c r="DV127" s="44">
        <f t="shared" si="85"/>
        <v>0</v>
      </c>
      <c r="DW127" s="44">
        <f t="shared" si="85"/>
        <v>0</v>
      </c>
      <c r="DX127" s="44">
        <f t="shared" si="85"/>
        <v>0</v>
      </c>
      <c r="DY127" s="44">
        <f t="shared" si="85"/>
        <v>0</v>
      </c>
      <c r="DZ127" s="44">
        <f t="shared" si="85"/>
        <v>0</v>
      </c>
      <c r="EA127" s="44">
        <f t="shared" si="85"/>
        <v>0</v>
      </c>
      <c r="EB127" s="44">
        <f t="shared" si="85"/>
        <v>0</v>
      </c>
      <c r="ED127" s="203" t="s">
        <v>390</v>
      </c>
      <c r="EE127" s="75">
        <f t="shared" si="86"/>
        <v>68000471</v>
      </c>
      <c r="EF127" s="75">
        <f t="shared" si="72"/>
        <v>8428833</v>
      </c>
    </row>
    <row r="128" spans="1:136" ht="46.5" hidden="1" customHeight="1" x14ac:dyDescent="0.25">
      <c r="A128" s="50"/>
      <c r="B128" s="81"/>
      <c r="C128" s="83" t="s">
        <v>364</v>
      </c>
      <c r="D128" s="54" t="s">
        <v>365</v>
      </c>
      <c r="E128" s="122">
        <v>310</v>
      </c>
      <c r="F128" s="43" t="s">
        <v>366</v>
      </c>
      <c r="G128" s="44">
        <f t="shared" si="80"/>
        <v>101399529</v>
      </c>
      <c r="H128" s="45">
        <v>80000000</v>
      </c>
      <c r="I128" s="45">
        <f t="shared" si="87"/>
        <v>-21399529</v>
      </c>
      <c r="J128" s="78"/>
      <c r="K128" s="44">
        <f>60000000+31999529</f>
        <v>91999529</v>
      </c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>
        <f>8000000+1400000</f>
        <v>9400000</v>
      </c>
      <c r="AG128" s="46">
        <f t="shared" si="55"/>
        <v>1</v>
      </c>
      <c r="AH128" s="44">
        <f t="shared" si="92"/>
        <v>101399529</v>
      </c>
      <c r="AI128" s="44"/>
      <c r="AJ128" s="44">
        <f>+'[1]Acuerdo PLAN INVERSIÓN 2021'!$J$5305</f>
        <v>91999529</v>
      </c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>
        <f>+'[6]Acuerdo PLAN INVERSIÓN 2021'!$AF$6358</f>
        <v>9400000</v>
      </c>
      <c r="BF128" s="46">
        <f t="shared" si="57"/>
        <v>0</v>
      </c>
      <c r="BG128" s="44">
        <f t="shared" si="64"/>
        <v>0</v>
      </c>
      <c r="BH128" s="44">
        <f t="shared" si="90"/>
        <v>0</v>
      </c>
      <c r="BI128" s="44">
        <f t="shared" si="90"/>
        <v>0</v>
      </c>
      <c r="BJ128" s="44">
        <f t="shared" si="90"/>
        <v>0</v>
      </c>
      <c r="BK128" s="44">
        <f t="shared" si="90"/>
        <v>0</v>
      </c>
      <c r="BL128" s="44">
        <f t="shared" si="90"/>
        <v>0</v>
      </c>
      <c r="BM128" s="44">
        <f t="shared" si="90"/>
        <v>0</v>
      </c>
      <c r="BN128" s="44">
        <f t="shared" si="90"/>
        <v>0</v>
      </c>
      <c r="BO128" s="44">
        <f t="shared" si="90"/>
        <v>0</v>
      </c>
      <c r="BP128" s="44">
        <f t="shared" si="90"/>
        <v>0</v>
      </c>
      <c r="BQ128" s="44">
        <f t="shared" si="90"/>
        <v>0</v>
      </c>
      <c r="BR128" s="44">
        <f t="shared" si="90"/>
        <v>0</v>
      </c>
      <c r="BS128" s="44">
        <f t="shared" si="90"/>
        <v>0</v>
      </c>
      <c r="BT128" s="44">
        <f t="shared" si="90"/>
        <v>0</v>
      </c>
      <c r="BU128" s="44">
        <f t="shared" si="90"/>
        <v>0</v>
      </c>
      <c r="BV128" s="44">
        <f t="shared" si="90"/>
        <v>0</v>
      </c>
      <c r="BW128" s="44">
        <f t="shared" si="88"/>
        <v>0</v>
      </c>
      <c r="BX128" s="44">
        <f t="shared" si="82"/>
        <v>0</v>
      </c>
      <c r="BY128" s="44">
        <f t="shared" si="82"/>
        <v>0</v>
      </c>
      <c r="BZ128" s="44">
        <f t="shared" si="82"/>
        <v>0</v>
      </c>
      <c r="CA128" s="44">
        <f t="shared" si="82"/>
        <v>0</v>
      </c>
      <c r="CB128" s="44">
        <f t="shared" si="82"/>
        <v>0</v>
      </c>
      <c r="CC128" s="44">
        <f t="shared" si="82"/>
        <v>0</v>
      </c>
      <c r="CD128" s="44">
        <f t="shared" si="82"/>
        <v>0</v>
      </c>
      <c r="CE128" s="46">
        <f t="shared" si="93"/>
        <v>0.70200803398209077</v>
      </c>
      <c r="CF128" s="44">
        <f t="shared" si="94"/>
        <v>71183284</v>
      </c>
      <c r="CG128" s="44"/>
      <c r="CH128" s="44">
        <f>+'[5]Acuerdo PLAN INVERSIÓN 2021'!$H$7387-DC128</f>
        <v>61783284</v>
      </c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>
        <f>+'[5]Acuerdo PLAN INVERSIÓN 2021'!$H$7422+'[5]Acuerdo PLAN INVERSIÓN 2021'!$H$7425+'[5]Acuerdo PLAN INVERSIÓN 2021'!$H$7463</f>
        <v>9400000</v>
      </c>
      <c r="DD128" s="46">
        <f t="shared" si="56"/>
        <v>0.29799196601790923</v>
      </c>
      <c r="DE128" s="44">
        <f t="shared" si="83"/>
        <v>30216245</v>
      </c>
      <c r="DF128" s="44">
        <f t="shared" si="91"/>
        <v>0</v>
      </c>
      <c r="DG128" s="44">
        <f t="shared" si="91"/>
        <v>30216245</v>
      </c>
      <c r="DH128" s="44">
        <f t="shared" si="91"/>
        <v>0</v>
      </c>
      <c r="DI128" s="44">
        <f t="shared" si="91"/>
        <v>0</v>
      </c>
      <c r="DJ128" s="44">
        <f t="shared" si="91"/>
        <v>0</v>
      </c>
      <c r="DK128" s="44">
        <f t="shared" si="91"/>
        <v>0</v>
      </c>
      <c r="DL128" s="44">
        <f t="shared" si="91"/>
        <v>0</v>
      </c>
      <c r="DM128" s="44">
        <f t="shared" si="91"/>
        <v>0</v>
      </c>
      <c r="DN128" s="44">
        <f t="shared" si="91"/>
        <v>0</v>
      </c>
      <c r="DO128" s="44">
        <f t="shared" si="91"/>
        <v>0</v>
      </c>
      <c r="DP128" s="44">
        <f t="shared" si="91"/>
        <v>0</v>
      </c>
      <c r="DQ128" s="44">
        <f t="shared" si="91"/>
        <v>0</v>
      </c>
      <c r="DR128" s="44">
        <f t="shared" si="91"/>
        <v>0</v>
      </c>
      <c r="DS128" s="44">
        <f t="shared" si="91"/>
        <v>0</v>
      </c>
      <c r="DT128" s="44">
        <f t="shared" si="91"/>
        <v>0</v>
      </c>
      <c r="DU128" s="44">
        <f t="shared" si="89"/>
        <v>0</v>
      </c>
      <c r="DV128" s="44">
        <f t="shared" si="85"/>
        <v>0</v>
      </c>
      <c r="DW128" s="44">
        <f t="shared" si="85"/>
        <v>0</v>
      </c>
      <c r="DX128" s="44">
        <f t="shared" si="85"/>
        <v>0</v>
      </c>
      <c r="DY128" s="44">
        <f t="shared" si="85"/>
        <v>0</v>
      </c>
      <c r="DZ128" s="44">
        <f t="shared" si="85"/>
        <v>0</v>
      </c>
      <c r="EA128" s="44">
        <f t="shared" si="85"/>
        <v>0</v>
      </c>
      <c r="EB128" s="44">
        <f t="shared" si="85"/>
        <v>0</v>
      </c>
      <c r="EE128" s="75">
        <f t="shared" si="86"/>
        <v>101399529</v>
      </c>
      <c r="EF128" s="75">
        <f t="shared" si="72"/>
        <v>71183284</v>
      </c>
    </row>
    <row r="129" spans="1:137" s="74" customFormat="1" ht="20.25" customHeight="1" thickTop="1" thickBot="1" x14ac:dyDescent="0.3">
      <c r="A129" s="127"/>
      <c r="B129" s="186" t="s">
        <v>367</v>
      </c>
      <c r="C129" s="186"/>
      <c r="D129" s="186"/>
      <c r="E129" s="131"/>
      <c r="F129" s="132"/>
      <c r="G129" s="92">
        <f t="shared" ref="G129:AF129" si="95">SUM(G98:G128)</f>
        <v>26514474251</v>
      </c>
      <c r="H129" s="92">
        <f t="shared" si="95"/>
        <v>15548636000</v>
      </c>
      <c r="I129" s="92">
        <f t="shared" si="95"/>
        <v>-10965838251</v>
      </c>
      <c r="J129" s="92">
        <f t="shared" si="95"/>
        <v>1298210179</v>
      </c>
      <c r="K129" s="92">
        <f t="shared" si="95"/>
        <v>1447747011</v>
      </c>
      <c r="L129" s="92">
        <f t="shared" si="95"/>
        <v>0</v>
      </c>
      <c r="M129" s="92">
        <f t="shared" si="95"/>
        <v>8774429504</v>
      </c>
      <c r="N129" s="92">
        <f t="shared" si="95"/>
        <v>6856843769</v>
      </c>
      <c r="O129" s="92">
        <f t="shared" si="95"/>
        <v>0</v>
      </c>
      <c r="P129" s="92">
        <f t="shared" si="95"/>
        <v>212423035</v>
      </c>
      <c r="Q129" s="92">
        <f t="shared" si="95"/>
        <v>660290626</v>
      </c>
      <c r="R129" s="92">
        <f t="shared" si="95"/>
        <v>593465994</v>
      </c>
      <c r="S129" s="92">
        <f t="shared" si="95"/>
        <v>446546789</v>
      </c>
      <c r="T129" s="92">
        <f t="shared" si="95"/>
        <v>734044263</v>
      </c>
      <c r="U129" s="92">
        <f t="shared" si="95"/>
        <v>620266250</v>
      </c>
      <c r="V129" s="92">
        <f t="shared" si="95"/>
        <v>201867582</v>
      </c>
      <c r="W129" s="92">
        <f t="shared" si="95"/>
        <v>690751605</v>
      </c>
      <c r="X129" s="92">
        <f t="shared" si="95"/>
        <v>331774449</v>
      </c>
      <c r="Y129" s="92">
        <f t="shared" si="95"/>
        <v>0</v>
      </c>
      <c r="Z129" s="92">
        <f t="shared" si="95"/>
        <v>0</v>
      </c>
      <c r="AA129" s="92">
        <f t="shared" si="95"/>
        <v>2037177577</v>
      </c>
      <c r="AB129" s="92">
        <f t="shared" si="95"/>
        <v>210000000</v>
      </c>
      <c r="AC129" s="92">
        <f t="shared" si="95"/>
        <v>124281898</v>
      </c>
      <c r="AD129" s="92">
        <f t="shared" si="95"/>
        <v>0</v>
      </c>
      <c r="AE129" s="92">
        <f t="shared" si="95"/>
        <v>124801187</v>
      </c>
      <c r="AF129" s="92">
        <f t="shared" si="95"/>
        <v>1149552533</v>
      </c>
      <c r="AG129" s="73">
        <f t="shared" si="55"/>
        <v>0.62383471097399434</v>
      </c>
      <c r="AH129" s="92">
        <f t="shared" ref="AH129:BE129" si="96">SUM(AH98:AH128)</f>
        <v>16540649381</v>
      </c>
      <c r="AI129" s="92">
        <f t="shared" si="96"/>
        <v>745379419</v>
      </c>
      <c r="AJ129" s="92">
        <f t="shared" si="96"/>
        <v>1230446339</v>
      </c>
      <c r="AK129" s="92">
        <f t="shared" si="96"/>
        <v>0</v>
      </c>
      <c r="AL129" s="92">
        <f t="shared" si="96"/>
        <v>3205494381</v>
      </c>
      <c r="AM129" s="92">
        <f t="shared" si="96"/>
        <v>6855066956</v>
      </c>
      <c r="AN129" s="92">
        <f t="shared" si="96"/>
        <v>0</v>
      </c>
      <c r="AO129" s="92">
        <f t="shared" si="96"/>
        <v>100000000</v>
      </c>
      <c r="AP129" s="92">
        <f t="shared" si="96"/>
        <v>510290626</v>
      </c>
      <c r="AQ129" s="92">
        <f t="shared" si="96"/>
        <v>0</v>
      </c>
      <c r="AR129" s="92">
        <f t="shared" si="96"/>
        <v>50000000</v>
      </c>
      <c r="AS129" s="92">
        <f t="shared" si="96"/>
        <v>354658104</v>
      </c>
      <c r="AT129" s="92">
        <f t="shared" si="96"/>
        <v>324980000</v>
      </c>
      <c r="AU129" s="92">
        <f t="shared" si="96"/>
        <v>47237313</v>
      </c>
      <c r="AV129" s="92">
        <f t="shared" si="96"/>
        <v>51651000</v>
      </c>
      <c r="AW129" s="92">
        <f t="shared" si="96"/>
        <v>320776495</v>
      </c>
      <c r="AX129" s="92">
        <f t="shared" si="96"/>
        <v>0</v>
      </c>
      <c r="AY129" s="92">
        <f t="shared" si="96"/>
        <v>0</v>
      </c>
      <c r="AZ129" s="92">
        <f t="shared" si="96"/>
        <v>1539813907</v>
      </c>
      <c r="BA129" s="92">
        <f t="shared" si="96"/>
        <v>210000000</v>
      </c>
      <c r="BB129" s="92">
        <f t="shared" si="96"/>
        <v>49963689</v>
      </c>
      <c r="BC129" s="92">
        <f t="shared" si="96"/>
        <v>0</v>
      </c>
      <c r="BD129" s="92">
        <f t="shared" si="96"/>
        <v>124801187</v>
      </c>
      <c r="BE129" s="92">
        <f t="shared" si="96"/>
        <v>820089965</v>
      </c>
      <c r="BF129" s="73">
        <f t="shared" si="57"/>
        <v>0.37616528902600566</v>
      </c>
      <c r="BG129" s="92">
        <f t="shared" ref="BG129:CD129" si="97">SUM(BG98:BG128)</f>
        <v>9973824870</v>
      </c>
      <c r="BH129" s="92">
        <f t="shared" si="97"/>
        <v>552830760</v>
      </c>
      <c r="BI129" s="92">
        <f t="shared" si="97"/>
        <v>217300672</v>
      </c>
      <c r="BJ129" s="92">
        <f t="shared" si="97"/>
        <v>0</v>
      </c>
      <c r="BK129" s="92">
        <f t="shared" si="97"/>
        <v>5568935123</v>
      </c>
      <c r="BL129" s="92">
        <f t="shared" si="97"/>
        <v>1776813</v>
      </c>
      <c r="BM129" s="92">
        <f t="shared" si="97"/>
        <v>0</v>
      </c>
      <c r="BN129" s="92">
        <f t="shared" si="97"/>
        <v>112423035</v>
      </c>
      <c r="BO129" s="92">
        <f t="shared" si="97"/>
        <v>150000000</v>
      </c>
      <c r="BP129" s="92">
        <f t="shared" si="97"/>
        <v>593465994</v>
      </c>
      <c r="BQ129" s="92">
        <f t="shared" si="97"/>
        <v>396546789</v>
      </c>
      <c r="BR129" s="92">
        <f t="shared" si="97"/>
        <v>379386159</v>
      </c>
      <c r="BS129" s="92">
        <f t="shared" si="97"/>
        <v>295286250</v>
      </c>
      <c r="BT129" s="92">
        <f t="shared" si="97"/>
        <v>154630269</v>
      </c>
      <c r="BU129" s="92">
        <f t="shared" si="97"/>
        <v>639100605</v>
      </c>
      <c r="BV129" s="92">
        <f t="shared" si="97"/>
        <v>10997954</v>
      </c>
      <c r="BW129" s="92">
        <f t="shared" si="97"/>
        <v>0</v>
      </c>
      <c r="BX129" s="92">
        <f t="shared" si="97"/>
        <v>0</v>
      </c>
      <c r="BY129" s="92">
        <f t="shared" si="97"/>
        <v>497363670</v>
      </c>
      <c r="BZ129" s="92">
        <f t="shared" si="97"/>
        <v>0</v>
      </c>
      <c r="CA129" s="92">
        <f t="shared" si="97"/>
        <v>74318209</v>
      </c>
      <c r="CB129" s="92">
        <f t="shared" si="97"/>
        <v>0</v>
      </c>
      <c r="CC129" s="92">
        <f t="shared" si="97"/>
        <v>0</v>
      </c>
      <c r="CD129" s="92">
        <f t="shared" si="97"/>
        <v>329462568</v>
      </c>
      <c r="CE129" s="71">
        <f t="shared" si="93"/>
        <v>0.43147513372129281</v>
      </c>
      <c r="CF129" s="92">
        <f>SUM(CF98:CF128)</f>
        <v>11440336323</v>
      </c>
      <c r="CG129" s="92">
        <f>SUM(CG98:CG128)</f>
        <v>434799132</v>
      </c>
      <c r="CH129" s="92">
        <f>SUM(CH98:CH128)</f>
        <v>934132301</v>
      </c>
      <c r="CI129" s="92">
        <f>SUM(CI98:CI128)</f>
        <v>0</v>
      </c>
      <c r="CJ129" s="92">
        <f>SUM(CJ98:CJ128)</f>
        <v>623488881</v>
      </c>
      <c r="CK129" s="92">
        <f t="shared" ref="CK129:DC129" si="98">SUM(CK98:CK128)</f>
        <v>6855066956</v>
      </c>
      <c r="CL129" s="92">
        <f t="shared" si="98"/>
        <v>0</v>
      </c>
      <c r="CM129" s="92">
        <f t="shared" si="98"/>
        <v>100000000</v>
      </c>
      <c r="CN129" s="92">
        <f t="shared" si="98"/>
        <v>510290626</v>
      </c>
      <c r="CO129" s="92">
        <f t="shared" si="98"/>
        <v>0</v>
      </c>
      <c r="CP129" s="92">
        <f t="shared" si="98"/>
        <v>0</v>
      </c>
      <c r="CQ129" s="92">
        <f t="shared" si="98"/>
        <v>0</v>
      </c>
      <c r="CR129" s="92">
        <f t="shared" si="98"/>
        <v>324980000</v>
      </c>
      <c r="CS129" s="92">
        <f t="shared" si="98"/>
        <v>0</v>
      </c>
      <c r="CT129" s="92">
        <f t="shared" si="98"/>
        <v>42007000</v>
      </c>
      <c r="CU129" s="92">
        <f t="shared" si="98"/>
        <v>0</v>
      </c>
      <c r="CV129" s="92">
        <f t="shared" si="98"/>
        <v>0</v>
      </c>
      <c r="CW129" s="92">
        <f t="shared" si="98"/>
        <v>0</v>
      </c>
      <c r="CX129" s="92">
        <f t="shared" si="98"/>
        <v>1033288084</v>
      </c>
      <c r="CY129" s="92">
        <f t="shared" si="98"/>
        <v>190706265</v>
      </c>
      <c r="CZ129" s="92">
        <f t="shared" si="98"/>
        <v>0</v>
      </c>
      <c r="DA129" s="92">
        <f t="shared" si="98"/>
        <v>0</v>
      </c>
      <c r="DB129" s="92">
        <f t="shared" si="98"/>
        <v>44817066</v>
      </c>
      <c r="DC129" s="92">
        <f t="shared" si="98"/>
        <v>346760012</v>
      </c>
      <c r="DD129" s="73">
        <f t="shared" si="56"/>
        <v>0.56852486627870724</v>
      </c>
      <c r="DE129" s="92">
        <f t="shared" ref="DE129:EB129" si="99">SUM(DE98:DE128)</f>
        <v>15074137928</v>
      </c>
      <c r="DF129" s="92">
        <f t="shared" si="99"/>
        <v>863411047</v>
      </c>
      <c r="DG129" s="92">
        <f t="shared" si="99"/>
        <v>513614710</v>
      </c>
      <c r="DH129" s="92">
        <f t="shared" si="99"/>
        <v>0</v>
      </c>
      <c r="DI129" s="92">
        <f t="shared" si="99"/>
        <v>8150940623</v>
      </c>
      <c r="DJ129" s="92">
        <f t="shared" si="99"/>
        <v>1776813</v>
      </c>
      <c r="DK129" s="92">
        <f t="shared" si="99"/>
        <v>0</v>
      </c>
      <c r="DL129" s="92">
        <f t="shared" si="99"/>
        <v>112423035</v>
      </c>
      <c r="DM129" s="92">
        <f t="shared" si="99"/>
        <v>150000000</v>
      </c>
      <c r="DN129" s="92">
        <f t="shared" si="99"/>
        <v>593465994</v>
      </c>
      <c r="DO129" s="92">
        <f t="shared" si="99"/>
        <v>446546789</v>
      </c>
      <c r="DP129" s="92">
        <f t="shared" si="99"/>
        <v>734044263</v>
      </c>
      <c r="DQ129" s="92">
        <f t="shared" si="99"/>
        <v>295286250</v>
      </c>
      <c r="DR129" s="92">
        <f t="shared" si="99"/>
        <v>201867582</v>
      </c>
      <c r="DS129" s="92">
        <f t="shared" si="99"/>
        <v>648744605</v>
      </c>
      <c r="DT129" s="92">
        <f t="shared" si="99"/>
        <v>331774449</v>
      </c>
      <c r="DU129" s="92">
        <f t="shared" si="99"/>
        <v>0</v>
      </c>
      <c r="DV129" s="92">
        <f t="shared" si="99"/>
        <v>0</v>
      </c>
      <c r="DW129" s="92">
        <f t="shared" si="99"/>
        <v>1003889493</v>
      </c>
      <c r="DX129" s="92">
        <f t="shared" si="99"/>
        <v>19293735</v>
      </c>
      <c r="DY129" s="92">
        <f t="shared" si="99"/>
        <v>124281898</v>
      </c>
      <c r="DZ129" s="92">
        <f t="shared" si="99"/>
        <v>0</v>
      </c>
      <c r="EA129" s="92">
        <f t="shared" si="99"/>
        <v>79984121</v>
      </c>
      <c r="EB129" s="92">
        <f t="shared" si="99"/>
        <v>802792521</v>
      </c>
      <c r="ED129" s="203" t="s">
        <v>390</v>
      </c>
      <c r="EE129" s="75">
        <f t="shared" si="86"/>
        <v>26514474251</v>
      </c>
      <c r="EF129" s="75">
        <f t="shared" si="72"/>
        <v>11440336323</v>
      </c>
      <c r="EG129" s="188">
        <f>+CE129</f>
        <v>0.43147513372129281</v>
      </c>
    </row>
    <row r="130" spans="1:137" ht="5.25" customHeight="1" thickTop="1" x14ac:dyDescent="0.25">
      <c r="C130" s="133"/>
      <c r="D130" s="133"/>
      <c r="E130" s="133"/>
      <c r="F130" s="133"/>
      <c r="G130" s="134"/>
      <c r="H130" s="135"/>
      <c r="I130" s="135"/>
      <c r="J130" s="134"/>
      <c r="K130" s="136"/>
      <c r="L130" s="134"/>
      <c r="M130" s="134"/>
      <c r="N130" s="134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8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79"/>
      <c r="CF130" s="140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  <c r="CS130" s="139"/>
      <c r="CT130" s="139"/>
      <c r="CU130" s="139"/>
      <c r="CV130" s="139"/>
      <c r="CW130" s="139"/>
      <c r="CX130" s="139"/>
      <c r="CY130" s="139"/>
      <c r="CZ130" s="139"/>
      <c r="DA130" s="139"/>
      <c r="DB130" s="139"/>
      <c r="DC130" s="139"/>
      <c r="DD130" s="138"/>
      <c r="DE130" s="139"/>
      <c r="DF130" s="139"/>
      <c r="DG130" s="139"/>
      <c r="DH130" s="139"/>
      <c r="DI130" s="139"/>
      <c r="DJ130" s="139"/>
      <c r="DK130" s="139"/>
      <c r="DL130" s="139"/>
      <c r="DM130" s="139"/>
      <c r="DN130" s="139"/>
      <c r="DO130" s="139"/>
      <c r="DP130" s="139"/>
      <c r="DQ130" s="139"/>
      <c r="DR130" s="139"/>
      <c r="DS130" s="139"/>
      <c r="DT130" s="139"/>
      <c r="DU130" s="139"/>
      <c r="DV130" s="139"/>
      <c r="DW130" s="139"/>
      <c r="DX130" s="139"/>
      <c r="DY130" s="139"/>
      <c r="DZ130" s="139"/>
      <c r="EA130" s="139"/>
      <c r="EB130" s="139"/>
    </row>
    <row r="131" spans="1:137" ht="19.5" customHeight="1" x14ac:dyDescent="0.25">
      <c r="C131" s="141" t="s">
        <v>368</v>
      </c>
      <c r="D131" s="142"/>
      <c r="E131" s="143"/>
      <c r="F131" s="144"/>
      <c r="G131" s="139">
        <f t="shared" ref="G131:AF131" si="100">G24+G50+G77+G97+G129</f>
        <v>47285614871</v>
      </c>
      <c r="H131" s="145">
        <f t="shared" si="100"/>
        <v>37326786386</v>
      </c>
      <c r="I131" s="145">
        <f t="shared" si="100"/>
        <v>-9958828485</v>
      </c>
      <c r="J131" s="139">
        <f t="shared" si="100"/>
        <v>2422439838</v>
      </c>
      <c r="K131" s="139">
        <f t="shared" si="100"/>
        <v>3721535284</v>
      </c>
      <c r="L131" s="139">
        <f t="shared" si="100"/>
        <v>24243035</v>
      </c>
      <c r="M131" s="139">
        <f t="shared" si="100"/>
        <v>9772000888</v>
      </c>
      <c r="N131" s="139">
        <f t="shared" si="100"/>
        <v>6856843769</v>
      </c>
      <c r="O131" s="139">
        <f t="shared" si="100"/>
        <v>167645552</v>
      </c>
      <c r="P131" s="139">
        <f t="shared" si="100"/>
        <v>212423035</v>
      </c>
      <c r="Q131" s="139">
        <f t="shared" si="100"/>
        <v>4066423197</v>
      </c>
      <c r="R131" s="139">
        <f t="shared" si="100"/>
        <v>668465994</v>
      </c>
      <c r="S131" s="139">
        <f t="shared" si="100"/>
        <v>626546789</v>
      </c>
      <c r="T131" s="139">
        <f t="shared" si="100"/>
        <v>764044263</v>
      </c>
      <c r="U131" s="139">
        <f t="shared" si="100"/>
        <v>709673874</v>
      </c>
      <c r="V131" s="139">
        <f t="shared" si="100"/>
        <v>201867582</v>
      </c>
      <c r="W131" s="139">
        <f t="shared" si="100"/>
        <v>690751605</v>
      </c>
      <c r="X131" s="139">
        <f t="shared" si="100"/>
        <v>436609040</v>
      </c>
      <c r="Y131" s="139">
        <f t="shared" si="100"/>
        <v>4234779075</v>
      </c>
      <c r="Z131" s="139">
        <f t="shared" si="100"/>
        <v>1208521042</v>
      </c>
      <c r="AA131" s="139">
        <f t="shared" si="100"/>
        <v>3653080573</v>
      </c>
      <c r="AB131" s="139">
        <f t="shared" si="100"/>
        <v>896735515</v>
      </c>
      <c r="AC131" s="139">
        <f t="shared" si="100"/>
        <v>1853354458</v>
      </c>
      <c r="AD131" s="139">
        <f t="shared" si="100"/>
        <v>475996742</v>
      </c>
      <c r="AE131" s="139">
        <f>AE24+AE50+AE77+AE97+AE129</f>
        <v>547409151</v>
      </c>
      <c r="AF131" s="139">
        <f t="shared" si="100"/>
        <v>3074224570</v>
      </c>
      <c r="AG131" s="46">
        <f>AH131/G131</f>
        <v>0.68886984417701258</v>
      </c>
      <c r="AH131" s="139">
        <f t="shared" ref="AH131:BE131" si="101">AH24+AH50+AH77+AH97+AH129</f>
        <v>32573634148</v>
      </c>
      <c r="AI131" s="139">
        <f t="shared" si="101"/>
        <v>1215982245</v>
      </c>
      <c r="AJ131" s="101">
        <f t="shared" si="101"/>
        <v>3257878420</v>
      </c>
      <c r="AK131" s="101">
        <f t="shared" si="101"/>
        <v>2000000</v>
      </c>
      <c r="AL131" s="101">
        <f t="shared" si="101"/>
        <v>3989285892</v>
      </c>
      <c r="AM131" s="101">
        <f t="shared" si="101"/>
        <v>6855066956</v>
      </c>
      <c r="AN131" s="101">
        <f t="shared" si="101"/>
        <v>155819660</v>
      </c>
      <c r="AO131" s="139">
        <f t="shared" si="101"/>
        <v>100000000</v>
      </c>
      <c r="AP131" s="139">
        <f t="shared" si="101"/>
        <v>2769764971</v>
      </c>
      <c r="AQ131" s="139">
        <f t="shared" si="101"/>
        <v>58183470</v>
      </c>
      <c r="AR131" s="139">
        <f t="shared" si="101"/>
        <v>107981429</v>
      </c>
      <c r="AS131" s="139">
        <f t="shared" si="101"/>
        <v>376515468</v>
      </c>
      <c r="AT131" s="139">
        <f t="shared" si="101"/>
        <v>372157846</v>
      </c>
      <c r="AU131" s="139">
        <f t="shared" si="101"/>
        <v>47237313</v>
      </c>
      <c r="AV131" s="139">
        <f t="shared" si="101"/>
        <v>51651000</v>
      </c>
      <c r="AW131" s="139">
        <f t="shared" si="101"/>
        <v>370776495</v>
      </c>
      <c r="AX131" s="139">
        <f t="shared" si="101"/>
        <v>3784780270</v>
      </c>
      <c r="AY131" s="139">
        <f t="shared" si="101"/>
        <v>1039845000</v>
      </c>
      <c r="AZ131" s="139">
        <f t="shared" si="101"/>
        <v>2618218341</v>
      </c>
      <c r="BA131" s="139">
        <f t="shared" si="101"/>
        <v>858292098</v>
      </c>
      <c r="BB131" s="139">
        <f t="shared" si="101"/>
        <v>1102823138</v>
      </c>
      <c r="BC131" s="139">
        <f t="shared" si="101"/>
        <v>467767409</v>
      </c>
      <c r="BD131" s="139">
        <f t="shared" si="101"/>
        <v>547409151</v>
      </c>
      <c r="BE131" s="139">
        <f t="shared" si="101"/>
        <v>2424197576</v>
      </c>
      <c r="BF131" s="146">
        <f>1-AG131</f>
        <v>0.31113015582298742</v>
      </c>
      <c r="BG131" s="139">
        <f t="shared" ref="BG131:CD131" si="102">BG24+BG50+BG77+BG97+BG129</f>
        <v>14711980723</v>
      </c>
      <c r="BH131" s="139">
        <f t="shared" si="102"/>
        <v>1206457593</v>
      </c>
      <c r="BI131" s="101">
        <f t="shared" si="102"/>
        <v>463656864</v>
      </c>
      <c r="BJ131" s="101">
        <f t="shared" si="102"/>
        <v>22243035</v>
      </c>
      <c r="BK131" s="101">
        <f t="shared" si="102"/>
        <v>5782714996</v>
      </c>
      <c r="BL131" s="101">
        <f t="shared" si="102"/>
        <v>1776813</v>
      </c>
      <c r="BM131" s="101">
        <f t="shared" si="102"/>
        <v>11825892</v>
      </c>
      <c r="BN131" s="139">
        <f t="shared" si="102"/>
        <v>112423035</v>
      </c>
      <c r="BO131" s="139">
        <f t="shared" si="102"/>
        <v>1296658226</v>
      </c>
      <c r="BP131" s="139">
        <f t="shared" si="102"/>
        <v>610282524</v>
      </c>
      <c r="BQ131" s="139">
        <f t="shared" si="102"/>
        <v>518565360</v>
      </c>
      <c r="BR131" s="139">
        <f t="shared" si="102"/>
        <v>387528795</v>
      </c>
      <c r="BS131" s="139">
        <f t="shared" si="102"/>
        <v>337516028</v>
      </c>
      <c r="BT131" s="139">
        <f t="shared" si="102"/>
        <v>154630269</v>
      </c>
      <c r="BU131" s="139">
        <f t="shared" si="102"/>
        <v>639100605</v>
      </c>
      <c r="BV131" s="139">
        <f t="shared" si="102"/>
        <v>65832545</v>
      </c>
      <c r="BW131" s="139">
        <f t="shared" si="102"/>
        <v>449998805</v>
      </c>
      <c r="BX131" s="139">
        <f t="shared" si="102"/>
        <v>168676042</v>
      </c>
      <c r="BY131" s="139">
        <f t="shared" si="102"/>
        <v>1034862232</v>
      </c>
      <c r="BZ131" s="139">
        <f t="shared" si="102"/>
        <v>38443417</v>
      </c>
      <c r="CA131" s="139">
        <f t="shared" si="102"/>
        <v>750531320</v>
      </c>
      <c r="CB131" s="139">
        <f t="shared" si="102"/>
        <v>8229333</v>
      </c>
      <c r="CC131" s="139">
        <f t="shared" si="102"/>
        <v>0</v>
      </c>
      <c r="CD131" s="139">
        <f t="shared" si="102"/>
        <v>650026994</v>
      </c>
      <c r="CE131" s="46">
        <f>CF131/G131</f>
        <v>0.49531354715161147</v>
      </c>
      <c r="CF131" s="139">
        <f>CF24+CF50+CF77+CF97+CF129</f>
        <v>23421205631</v>
      </c>
      <c r="CG131" s="139">
        <f>CG24+CG50+CG77+CG97+CG129</f>
        <v>775200465</v>
      </c>
      <c r="CH131" s="139">
        <f>CH24+CH50+CH77+CH97+CH129</f>
        <v>2774333262</v>
      </c>
      <c r="CI131" s="139">
        <f>CI24+CI50+CI77+CI97+CI129</f>
        <v>2000000</v>
      </c>
      <c r="CJ131" s="139">
        <f t="shared" ref="CJ131:DC131" si="103">CJ24+CJ50+CJ77+CJ97+CJ129</f>
        <v>1003224486</v>
      </c>
      <c r="CK131" s="139">
        <f t="shared" si="103"/>
        <v>6855066956</v>
      </c>
      <c r="CL131" s="139">
        <f t="shared" si="103"/>
        <v>121783331</v>
      </c>
      <c r="CM131" s="139">
        <f t="shared" si="103"/>
        <v>100000000</v>
      </c>
      <c r="CN131" s="139">
        <f t="shared" si="103"/>
        <v>2190412835</v>
      </c>
      <c r="CO131" s="139">
        <f t="shared" si="103"/>
        <v>20074931</v>
      </c>
      <c r="CP131" s="139">
        <f t="shared" si="103"/>
        <v>21592891</v>
      </c>
      <c r="CQ131" s="139">
        <f t="shared" si="103"/>
        <v>12174526</v>
      </c>
      <c r="CR131" s="139">
        <f t="shared" si="103"/>
        <v>348974049</v>
      </c>
      <c r="CS131" s="139">
        <f t="shared" si="103"/>
        <v>0</v>
      </c>
      <c r="CT131" s="139">
        <f t="shared" si="103"/>
        <v>42007000</v>
      </c>
      <c r="CU131" s="139">
        <f t="shared" si="103"/>
        <v>7513999</v>
      </c>
      <c r="CV131" s="139">
        <f t="shared" si="103"/>
        <v>3157609557</v>
      </c>
      <c r="CW131" s="139">
        <f t="shared" si="103"/>
        <v>778566385</v>
      </c>
      <c r="CX131" s="139">
        <f t="shared" si="103"/>
        <v>1737994924</v>
      </c>
      <c r="CY131" s="139">
        <f t="shared" si="103"/>
        <v>496337204</v>
      </c>
      <c r="CZ131" s="139">
        <f t="shared" si="103"/>
        <v>829578631</v>
      </c>
      <c r="DA131" s="139">
        <f t="shared" si="103"/>
        <v>311472790</v>
      </c>
      <c r="DB131" s="139">
        <f t="shared" si="103"/>
        <v>44817066</v>
      </c>
      <c r="DC131" s="139">
        <f t="shared" si="103"/>
        <v>1790470343</v>
      </c>
      <c r="DD131" s="46">
        <f>1-CE131</f>
        <v>0.50468645284838853</v>
      </c>
      <c r="DE131" s="139">
        <f t="shared" ref="DE131:EB131" si="104">DE24+DE50+DE77+DE97+DE129</f>
        <v>23864409240</v>
      </c>
      <c r="DF131" s="139">
        <f t="shared" si="104"/>
        <v>1647239373</v>
      </c>
      <c r="DG131" s="139">
        <f t="shared" si="104"/>
        <v>947202022</v>
      </c>
      <c r="DH131" s="139">
        <f t="shared" si="104"/>
        <v>22243035</v>
      </c>
      <c r="DI131" s="139">
        <f t="shared" si="104"/>
        <v>8768776402</v>
      </c>
      <c r="DJ131" s="139">
        <f t="shared" si="104"/>
        <v>1776813</v>
      </c>
      <c r="DK131" s="139">
        <f t="shared" si="104"/>
        <v>45862221</v>
      </c>
      <c r="DL131" s="139">
        <f t="shared" si="104"/>
        <v>112423035</v>
      </c>
      <c r="DM131" s="139">
        <f t="shared" si="104"/>
        <v>1876010362</v>
      </c>
      <c r="DN131" s="139">
        <f t="shared" si="104"/>
        <v>648391063</v>
      </c>
      <c r="DO131" s="139">
        <f t="shared" si="104"/>
        <v>604953898</v>
      </c>
      <c r="DP131" s="139">
        <f t="shared" si="104"/>
        <v>751869737</v>
      </c>
      <c r="DQ131" s="139">
        <f t="shared" si="104"/>
        <v>360699825</v>
      </c>
      <c r="DR131" s="139">
        <f t="shared" si="104"/>
        <v>201867582</v>
      </c>
      <c r="DS131" s="139">
        <f t="shared" si="104"/>
        <v>648744605</v>
      </c>
      <c r="DT131" s="139">
        <f t="shared" si="104"/>
        <v>429095041</v>
      </c>
      <c r="DU131" s="139">
        <f t="shared" si="104"/>
        <v>1077169518</v>
      </c>
      <c r="DV131" s="139">
        <f t="shared" si="104"/>
        <v>429954657</v>
      </c>
      <c r="DW131" s="139">
        <f t="shared" si="104"/>
        <v>1915085649</v>
      </c>
      <c r="DX131" s="139">
        <f t="shared" si="104"/>
        <v>400398311</v>
      </c>
      <c r="DY131" s="139">
        <f t="shared" si="104"/>
        <v>1023775827</v>
      </c>
      <c r="DZ131" s="139">
        <f t="shared" si="104"/>
        <v>164523952</v>
      </c>
      <c r="EA131" s="139">
        <f t="shared" si="104"/>
        <v>502592085</v>
      </c>
      <c r="EB131" s="139">
        <f t="shared" si="104"/>
        <v>1283754227</v>
      </c>
      <c r="ED131" s="204" t="s">
        <v>41</v>
      </c>
      <c r="EE131" s="86">
        <f>EE24+EE50+EE77+EE97+EE129</f>
        <v>47285614871</v>
      </c>
      <c r="EF131" s="86">
        <f>EF24+EF50+EF77+EF97+EF129</f>
        <v>23421205631</v>
      </c>
      <c r="EG131" s="205">
        <f>+CE131</f>
        <v>0.49531354715161147</v>
      </c>
    </row>
    <row r="132" spans="1:137" ht="5.25" customHeight="1" x14ac:dyDescent="0.25">
      <c r="C132" s="147"/>
      <c r="D132" s="147"/>
      <c r="E132" s="148"/>
      <c r="F132" s="148"/>
      <c r="G132" s="149"/>
      <c r="H132" s="150"/>
      <c r="I132" s="150"/>
      <c r="J132" s="149"/>
      <c r="K132" s="151"/>
      <c r="L132" s="149"/>
      <c r="M132" s="149"/>
      <c r="N132" s="149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  <c r="AC132" s="152"/>
      <c r="AD132" s="152"/>
      <c r="AE132" s="152"/>
      <c r="AF132" s="152"/>
      <c r="AG132" s="153"/>
      <c r="AH132" s="154"/>
      <c r="AI132" s="154"/>
      <c r="AJ132" s="154"/>
      <c r="AK132" s="154"/>
      <c r="AL132" s="154"/>
      <c r="AM132" s="154"/>
      <c r="AN132" s="154"/>
      <c r="AO132" s="154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3"/>
      <c r="BG132" s="154"/>
      <c r="BH132" s="154"/>
      <c r="BI132" s="154"/>
      <c r="BJ132" s="154"/>
      <c r="BK132" s="154"/>
      <c r="BL132" s="154"/>
      <c r="BM132" s="154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46"/>
      <c r="CF132" s="156"/>
      <c r="CG132" s="157"/>
      <c r="CH132" s="157"/>
      <c r="CI132" s="157"/>
      <c r="CJ132" s="157"/>
      <c r="CK132" s="157"/>
      <c r="CL132" s="157"/>
      <c r="CM132" s="152"/>
      <c r="CN132" s="152"/>
      <c r="CO132" s="152"/>
      <c r="CP132" s="152"/>
      <c r="CQ132" s="152"/>
      <c r="CR132" s="152"/>
      <c r="CS132" s="152"/>
      <c r="CT132" s="152"/>
      <c r="CU132" s="152"/>
      <c r="CV132" s="152"/>
      <c r="CW132" s="152"/>
      <c r="CX132" s="152"/>
      <c r="CY132" s="152"/>
      <c r="CZ132" s="152"/>
      <c r="DA132" s="152"/>
      <c r="DB132" s="152"/>
      <c r="DC132" s="152"/>
      <c r="DD132" s="46"/>
      <c r="DE132" s="158"/>
      <c r="DF132" s="154"/>
      <c r="DG132" s="154"/>
      <c r="DH132" s="154"/>
      <c r="DI132" s="154"/>
      <c r="DJ132" s="154"/>
      <c r="DK132" s="154"/>
      <c r="DL132" s="155"/>
      <c r="DM132" s="155"/>
      <c r="DN132" s="155"/>
      <c r="DO132" s="155"/>
      <c r="DP132" s="155"/>
      <c r="DQ132" s="155"/>
      <c r="DR132" s="155"/>
      <c r="DS132" s="155"/>
      <c r="DT132" s="155"/>
      <c r="DU132" s="155"/>
      <c r="DV132" s="155"/>
      <c r="DW132" s="155"/>
      <c r="DX132" s="155"/>
      <c r="DY132" s="155"/>
      <c r="DZ132" s="155"/>
      <c r="EA132" s="155"/>
      <c r="EB132" s="155"/>
    </row>
    <row r="133" spans="1:137" ht="16.5" customHeight="1" x14ac:dyDescent="0.25">
      <c r="C133" s="159"/>
      <c r="D133" s="160" t="s">
        <v>369</v>
      </c>
      <c r="E133" s="153">
        <v>111</v>
      </c>
      <c r="F133" s="161"/>
      <c r="G133" s="162">
        <f ca="1">SUMIF($E$6:$G$129,"111",$G$6:$J$128)</f>
        <v>14944040739</v>
      </c>
      <c r="H133" s="163">
        <f ca="1">SUMIF($E$6:$H$129,"111",$H$6:$J$128)</f>
        <v>3809136000</v>
      </c>
      <c r="I133" s="163">
        <f ca="1">SUMIF($E$6:$I$129,"111",$I$6:$J$128)</f>
        <v>-11134904739</v>
      </c>
      <c r="J133" s="162">
        <f>SUMIF($E$6:$E$129,"111",$J$6:$J$129)</f>
        <v>434799132</v>
      </c>
      <c r="K133" s="162">
        <f>SUMIF($E$6:$E$129,"111",$K$6:$K$129)</f>
        <v>63671594</v>
      </c>
      <c r="L133" s="162">
        <f>SUMIF($E$6:$E$129,"111",$L$6:$L$129)</f>
        <v>0</v>
      </c>
      <c r="M133" s="162">
        <f>SUMIF($E$6:$E$129,"111",$M$6:$M$129)</f>
        <v>4054720759</v>
      </c>
      <c r="N133" s="164">
        <f>SUMIF($E$6:$E$128,"111",$N$6:$N$128)</f>
        <v>6856843769</v>
      </c>
      <c r="O133" s="161">
        <f>SUMIF($E$6:$E$129,"111",$O$6:$O$129)</f>
        <v>0</v>
      </c>
      <c r="P133" s="161">
        <f>SUMIF($E$6:$E$128,"111",$P$6:$P$128)</f>
        <v>0</v>
      </c>
      <c r="Q133" s="161">
        <f>SUMIF($E$6:$E$128,"111",$Q$6:$Q$128)</f>
        <v>510290626</v>
      </c>
      <c r="R133" s="161">
        <f>SUMIF($E$6:$E$128,"111",$R$6:$R$128)</f>
        <v>593465994</v>
      </c>
      <c r="S133" s="161">
        <f>SUMIF($E$6:$E$128,"111",$S$6:$S$128)</f>
        <v>100000000</v>
      </c>
      <c r="T133" s="161">
        <f>SUMIF($E$6:$E$128,"111",$T$6:$T$128)</f>
        <v>664044263</v>
      </c>
      <c r="U133" s="161">
        <f>SUMIF($E$6:$E$128,"111",$U$6:$U$128)</f>
        <v>0</v>
      </c>
      <c r="V133" s="161">
        <f>SUMIF($E$6:$E$128,"111",$V$6:$V$128)</f>
        <v>154630269</v>
      </c>
      <c r="W133" s="161">
        <f>SUMIF($E$6:$E$128,"111",$W$6:$W$128)</f>
        <v>614527934</v>
      </c>
      <c r="X133" s="161">
        <f>SUMIF($E$6:$E$128,"111",$X$6:$X$128)</f>
        <v>290776495</v>
      </c>
      <c r="Y133" s="161">
        <f>SUMIF($E$6:$E$128,"111",$Y$6:$Y$128)</f>
        <v>0</v>
      </c>
      <c r="Z133" s="161">
        <f>SUMIF($E$6:$E$128,"111",$Z$6:$Z$128)</f>
        <v>0</v>
      </c>
      <c r="AA133" s="161">
        <f>SUMIF($E$6:$E$128,"111",$AA$6:$AA$128)</f>
        <v>404000000</v>
      </c>
      <c r="AB133" s="161">
        <f>SUMIF($E$6:$E$128,"111",$AB$6:$AB$128)</f>
        <v>0</v>
      </c>
      <c r="AC133" s="161">
        <f>SUMIF($E$6:$E$128,"111",$AC$6:$AC$128)</f>
        <v>0</v>
      </c>
      <c r="AD133" s="161">
        <f>SUMIF($E$6:$E$128,"111",$AC$6:$AC$128)</f>
        <v>0</v>
      </c>
      <c r="AE133" s="161">
        <f>SUMIF($E$6:$E$128,"111",$AE$6:$AE$128)</f>
        <v>77846638</v>
      </c>
      <c r="AF133" s="161">
        <f>SUMIF($E$6:$E$128,"111",$AF$6:$AF$128)</f>
        <v>124423266</v>
      </c>
      <c r="AG133" s="46">
        <f t="shared" ref="AG133:AG140" ca="1" si="105">AH133/G133</f>
        <v>0.70756225967753639</v>
      </c>
      <c r="AH133" s="164">
        <f>SUMIF($E$6:$E$128,"111",$AH$6:$AH$128)</f>
        <v>10573839234</v>
      </c>
      <c r="AI133" s="164">
        <f>SUMIF($E$6:$E$128,"111",$AI$6:$AI$128)</f>
        <v>434799132</v>
      </c>
      <c r="AJ133" s="164">
        <f>SUMIF($E$6:$E$128,"111",$AJ$6:$AJ$128)</f>
        <v>63671594</v>
      </c>
      <c r="AK133" s="164">
        <f>SUMIF($E$6:$E$128,"111",$AK$6:$AK$128)</f>
        <v>0</v>
      </c>
      <c r="AL133" s="164">
        <f>SUMIF($E$6:$E$128,"111",$AL$6:$AL$128)</f>
        <v>1458829191</v>
      </c>
      <c r="AM133" s="164">
        <f>SUMIF($E$6:$E$128,"111",$AM$6:$AM$128)</f>
        <v>6855066956</v>
      </c>
      <c r="AN133" s="164">
        <f>SUMIF($E$6:$E$128,"111",$AN$6:$AN$128)</f>
        <v>0</v>
      </c>
      <c r="AO133" s="164">
        <f>SUMIF($E$6:$E$128,"111",$AO$6:$AO$128)</f>
        <v>0</v>
      </c>
      <c r="AP133" s="164">
        <f>SUMIF($E$6:$E$128,"111",$AP$6:$AP$128)</f>
        <v>510290626</v>
      </c>
      <c r="AQ133" s="164">
        <f>SUMIF($E$6:$E$128,"111",$AQ$6:$AQ$128)</f>
        <v>0</v>
      </c>
      <c r="AR133" s="164">
        <f>SUMIF($E$6:$E$128,"111",$AR$6:$AR$128)</f>
        <v>0</v>
      </c>
      <c r="AS133" s="164">
        <f>SUMIF($E$6:$E$128,"111",$AS$6:$AS$128)</f>
        <v>354658104</v>
      </c>
      <c r="AT133" s="164">
        <f>SUMIF($E$6:$E$128,"111",$AT$6:$AT$128)</f>
        <v>0</v>
      </c>
      <c r="AU133" s="164">
        <f>SUMIF($E$6:$E$128,"111",$AU$6:$AU$128)</f>
        <v>0</v>
      </c>
      <c r="AV133" s="164">
        <f>SUMIF($E$6:$E$128,"111",$AV$6:$AV$128)</f>
        <v>51651000</v>
      </c>
      <c r="AW133" s="164">
        <f>SUMIF($E$6:$E$128,"111",$AW$6:$AW$128)</f>
        <v>290776495</v>
      </c>
      <c r="AX133" s="164">
        <f>SUMIF($E$6:$E$128,"111",$AX$6:$AX$128)</f>
        <v>0</v>
      </c>
      <c r="AY133" s="164">
        <f>SUMIF($E$6:$E$128,"111",$AY$6:$AY$128)</f>
        <v>0</v>
      </c>
      <c r="AZ133" s="164">
        <f>SUMIF($E$6:$E$128,"111",$AZ$6:$AZ$128)</f>
        <v>403999498</v>
      </c>
      <c r="BA133" s="164">
        <f>SUMIF($E$6:$E$128,"111",$BA$6:$BA$128)</f>
        <v>0</v>
      </c>
      <c r="BB133" s="164">
        <f>SUMIF($E$6:$E$128,"111",$BB$6:$BB$128)</f>
        <v>0</v>
      </c>
      <c r="BC133" s="164">
        <f>SUMIF($E$6:$E$128,"111",$BC$6:$BC$128)</f>
        <v>0</v>
      </c>
      <c r="BD133" s="164">
        <f>SUMIF($E$6:$E$128,"111",$BD$6:$BD$128)</f>
        <v>77846638</v>
      </c>
      <c r="BE133" s="164">
        <f>SUMIF($E$6:$E$128,"111",$BE$6:$BE$128)</f>
        <v>72250000</v>
      </c>
      <c r="BF133" s="146">
        <f t="shared" ref="BF133:BF140" ca="1" si="106">1-AG133</f>
        <v>0.29243774032246361</v>
      </c>
      <c r="BG133" s="49">
        <f t="shared" ref="BG133:BG139" si="107">SUM(BH133:CD133)</f>
        <v>4370201505</v>
      </c>
      <c r="BH133" s="165">
        <f>SUMIF($E$6:$E$128,"111",$BH$6:$BH$128)</f>
        <v>0</v>
      </c>
      <c r="BI133" s="165">
        <f>SUMIF($E$6:$E$128,"111",$BI$6:$BI$128)</f>
        <v>0</v>
      </c>
      <c r="BJ133" s="165">
        <f>SUMIF($E$6:$E$128,"111",$BJ$6:$BJ$128)</f>
        <v>0</v>
      </c>
      <c r="BK133" s="165">
        <f>SUMIF($E$6:$E$128,"111",$BK$6:$BK$128)</f>
        <v>2595891568</v>
      </c>
      <c r="BL133" s="165">
        <f>SUMIF($E$6:$E$128,"111",$BL$6:$BL$128)</f>
        <v>1776813</v>
      </c>
      <c r="BM133" s="165">
        <f>SUMIF($E$6:$E$128,"111",$BM$6:$BM$128)</f>
        <v>0</v>
      </c>
      <c r="BN133" s="165">
        <f>SUMIF($E$6:$E$128,"111",$BN$6:$BN$128)</f>
        <v>0</v>
      </c>
      <c r="BO133" s="165">
        <f>SUMIF($E$6:$E$128,"111",$BO$6:$BO$128)</f>
        <v>0</v>
      </c>
      <c r="BP133" s="165">
        <f>SUMIF($E$6:$E$128,"111",$BP$6:$BP$128)</f>
        <v>593465994</v>
      </c>
      <c r="BQ133" s="165">
        <f>SUMIF($E$6:$E$128,"111",$BQ$6:$BQ$128)</f>
        <v>100000000</v>
      </c>
      <c r="BR133" s="165">
        <f>SUMIF($E$6:$E$128,"111",$BR$6:$BR$128)</f>
        <v>309386159</v>
      </c>
      <c r="BS133" s="165">
        <f>SUMIF($E$6:$E$128,"111",$BS$6:$BS$128)</f>
        <v>0</v>
      </c>
      <c r="BT133" s="165">
        <f>SUMIF($E$6:$E$128,"111",$BT$6:$BT$128)</f>
        <v>154630269</v>
      </c>
      <c r="BU133" s="165">
        <f>SUMIF($E$6:$E$128,"111",$BU$6:$BU$128)</f>
        <v>562876934</v>
      </c>
      <c r="BV133" s="165">
        <f>SUMIF($E$6:$E$128,"111",$BV$6:$BV$128)</f>
        <v>0</v>
      </c>
      <c r="BW133" s="165">
        <f>SUMIF($E$6:$E$128,"111",$BW$6:$BW$128)</f>
        <v>0</v>
      </c>
      <c r="BX133" s="165">
        <f>SUMIF($E$6:$E$128,"111",$BX$6:$BX$128)</f>
        <v>0</v>
      </c>
      <c r="BY133" s="165">
        <f>SUMIF($E$6:$E$128,"111",$BY$6:$BY$128)</f>
        <v>502</v>
      </c>
      <c r="BZ133" s="165">
        <f>SUMIF($E$6:$E$128,"111",$BZ$6:$BZ$128)</f>
        <v>0</v>
      </c>
      <c r="CA133" s="165">
        <f>SUMIF($E$6:$E$128,"111",$CA$6:$CA$128)</f>
        <v>0</v>
      </c>
      <c r="CB133" s="165">
        <f>SUMIF($E$6:$E$128,"111",$CB$6:$CB$128)</f>
        <v>0</v>
      </c>
      <c r="CC133" s="165">
        <f>SUMIF($E$6:$E$128,"111",$CC$6:$CC$128)</f>
        <v>0</v>
      </c>
      <c r="CD133" s="166">
        <f>SUMIF($E$6:$E$128,"111",$CD$6:$CD$128)</f>
        <v>52173266</v>
      </c>
      <c r="CE133" s="46">
        <f t="shared" ref="CE133:CE140" ca="1" si="108">CF133/G133</f>
        <v>0.56006499742452287</v>
      </c>
      <c r="CF133" s="78">
        <f t="shared" ref="CF133:CF139" si="109">SUM(CG133:DC133)</f>
        <v>8369634138</v>
      </c>
      <c r="CG133" s="164">
        <f>SUMIF($E$6:$E$128,"111",$CG$6:$CG$128)</f>
        <v>434799132</v>
      </c>
      <c r="CH133" s="164">
        <f>SUMIF($E$6:$E$128,"111",$CH$6:$CH$128)</f>
        <v>0</v>
      </c>
      <c r="CI133" s="164">
        <f>SUMIF($E$6:$E$128,"111",$CI$6:$CI$128)</f>
        <v>0</v>
      </c>
      <c r="CJ133" s="164">
        <f>SUMIF($E$6:$E$128,"111",$CJ$6:$CJ$128)</f>
        <v>477638105</v>
      </c>
      <c r="CK133" s="164">
        <f>SUMIF($E$6:$E$128,"111",$CK$6:$CK$128)</f>
        <v>6855066956</v>
      </c>
      <c r="CL133" s="164">
        <f>SUMIF($E$6:$E$128,"111",$CL$6:$CL$128)</f>
        <v>0</v>
      </c>
      <c r="CM133" s="164">
        <f>SUMIF($E$6:$E$128,"111",$CM$6:$CM$128)</f>
        <v>0</v>
      </c>
      <c r="CN133" s="164">
        <f>SUMIF($E$6:$E$128,"111",$CN$6:$CN$128)</f>
        <v>510290626</v>
      </c>
      <c r="CO133" s="164">
        <f>SUMIF($E$6:$E$128,"111",$CO$6:$CO$128)</f>
        <v>0</v>
      </c>
      <c r="CP133" s="164">
        <f>SUMIF($E$6:$E$128,"111",$CP$6:$CP$128)</f>
        <v>0</v>
      </c>
      <c r="CQ133" s="164">
        <f>SUMIF($E$6:$E$128,"111",$CQ$6:$CQ$128)</f>
        <v>0</v>
      </c>
      <c r="CR133" s="164">
        <f>SUMIF($E$6:$E$128,"111",$CR$6:$CR$128)</f>
        <v>0</v>
      </c>
      <c r="CS133" s="164">
        <f>SUMIF($E$6:$E$128,"111",$CS$6:$CS$128)</f>
        <v>0</v>
      </c>
      <c r="CT133" s="164">
        <f>SUMIF($E$6:$E$128,"111",$CT$6:$CT$128)</f>
        <v>42007000</v>
      </c>
      <c r="CU133" s="164">
        <f>SUMIF($E$6:$E$128,"111",$CU$6:$CU$128)</f>
        <v>0</v>
      </c>
      <c r="CV133" s="164">
        <f>SUMIF($E$6:$E$128,"111",$CV$6:$CV$128)</f>
        <v>0</v>
      </c>
      <c r="CW133" s="164">
        <f>SUMIF($E$6:$E$128,"111",$CW$6:$CW$128)</f>
        <v>0</v>
      </c>
      <c r="CX133" s="164">
        <f>SUMIF($E$6:$E$128,"111",$CX$6:$CX$128)</f>
        <v>13021449</v>
      </c>
      <c r="CY133" s="164">
        <f>SUMIF($E$6:$E$128,"111",$CY$6:$CY$128)</f>
        <v>0</v>
      </c>
      <c r="CZ133" s="164">
        <f>SUMIF($E$6:$E$128,"111",$CZ$6:$CZ$128)</f>
        <v>0</v>
      </c>
      <c r="DA133" s="164">
        <f>SUMIF($E$6:$E$128,"111",$DA$6:$DA$128)</f>
        <v>0</v>
      </c>
      <c r="DB133" s="164">
        <f>SUMIF($E$6:$E$128,"111",$DB$6:$DB$128)</f>
        <v>0</v>
      </c>
      <c r="DC133" s="167">
        <f>SUMIF($E$6:$E$128,"111",$DC$6:$DC$128)</f>
        <v>36810870</v>
      </c>
      <c r="DD133" s="46">
        <f t="shared" ref="DD133:DD140" ca="1" si="110">1-CE133</f>
        <v>0.43993500257547713</v>
      </c>
      <c r="DE133" s="49">
        <f t="shared" ref="DE133:DE139" si="111">SUM(DF133:EB133)</f>
        <v>6574406601</v>
      </c>
      <c r="DF133" s="165">
        <f>SUMIF($E$6:$E$128,"111",$DF$6:$DF$128)</f>
        <v>0</v>
      </c>
      <c r="DG133" s="165">
        <f>SUMIF($E$6:$E$128,"111",$DG$6:$DG$128)</f>
        <v>63671594</v>
      </c>
      <c r="DH133" s="165">
        <f>SUMIF($E$6:$E$128,"111",$DH$6:$DH$128)</f>
        <v>0</v>
      </c>
      <c r="DI133" s="165">
        <f>SUMIF($E$6:$E$128,"111",$DI$6:$DI$128)</f>
        <v>3577082654</v>
      </c>
      <c r="DJ133" s="165">
        <f>SUMIF($E$6:$E$128,"111",$DJ$6:$DJ$128)</f>
        <v>1776813</v>
      </c>
      <c r="DK133" s="165">
        <f>SUMIF($E$6:$E$128,"111",$DK$6:$DK$128)</f>
        <v>0</v>
      </c>
      <c r="DL133" s="165">
        <f>SUMIF($E$6:$E$128,"111",$DL$6:$DL$128)</f>
        <v>0</v>
      </c>
      <c r="DM133" s="165">
        <f>SUMIF($E$6:$E$128,"111",$DM$6:$DM$128)</f>
        <v>0</v>
      </c>
      <c r="DN133" s="165">
        <f>SUMIF($E$6:$E$128,"111",$DN$6:$DN$128)</f>
        <v>593465994</v>
      </c>
      <c r="DO133" s="165">
        <f>SUMIF($E$6:$E$128,"111",$DO$6:$DO$128)</f>
        <v>100000000</v>
      </c>
      <c r="DP133" s="165">
        <f>SUMIF($E$6:$E$128,"111",$DP$6:$DP$128)</f>
        <v>664044263</v>
      </c>
      <c r="DQ133" s="168">
        <f>SUMIF($E$6:$E$128,"111",$DQ$6:$DQ$128)</f>
        <v>0</v>
      </c>
      <c r="DR133" s="168">
        <f>SUMIF($E$6:$E$128,"111",$DR$6:$DR$128)</f>
        <v>154630269</v>
      </c>
      <c r="DS133" s="168">
        <f>SUMIF($E$6:$E$128,"111",$DS$6:$DS$128)</f>
        <v>572520934</v>
      </c>
      <c r="DT133" s="168">
        <f>SUMIF($E$6:$E$128,"111",$DT$6:$DT$128)</f>
        <v>290776495</v>
      </c>
      <c r="DU133" s="168">
        <f>SUMIF($E$6:$E$128,"111",$DU$6:$DU$128)</f>
        <v>0</v>
      </c>
      <c r="DV133" s="168">
        <f>SUMIF($E$6:$E$128,"111",$DV$6:$DV$128)</f>
        <v>0</v>
      </c>
      <c r="DW133" s="168">
        <f>SUMIF($E$6:$E$128,"111",$DW$6:$DW$128)</f>
        <v>390978551</v>
      </c>
      <c r="DX133" s="168">
        <f>SUMIF($E$6:$E$128,"111",$DX$6:$DX$128)</f>
        <v>0</v>
      </c>
      <c r="DY133" s="168">
        <f>SUMIF($E$6:$E$128,"111",$DY$6:$DY$128)</f>
        <v>0</v>
      </c>
      <c r="DZ133" s="168">
        <f>SUMIF($E$6:$E$128,"111",$DZ$6:$DZ$128)</f>
        <v>0</v>
      </c>
      <c r="EA133" s="168">
        <f>SUMIF($E$6:$E$128,"111",$EA$6:$EA$128)</f>
        <v>77846638</v>
      </c>
      <c r="EB133" s="168">
        <f>SUMIF($E$6:$E$128,"111",$EB$6:$EB$128)</f>
        <v>87612396</v>
      </c>
      <c r="ED133" s="198" t="s">
        <v>6</v>
      </c>
      <c r="EE133" s="198" t="s">
        <v>383</v>
      </c>
      <c r="EF133" s="199" t="s">
        <v>384</v>
      </c>
      <c r="EG133" s="199" t="s">
        <v>385</v>
      </c>
    </row>
    <row r="134" spans="1:137" ht="18" customHeight="1" x14ac:dyDescent="0.25">
      <c r="C134" s="169"/>
      <c r="D134" s="160" t="s">
        <v>370</v>
      </c>
      <c r="E134" s="153">
        <v>211</v>
      </c>
      <c r="F134" s="161"/>
      <c r="G134" s="162">
        <f ca="1">SUMIF($E$6:$G$129,"211",$G$6:$J$128)</f>
        <v>10487526512</v>
      </c>
      <c r="H134" s="163">
        <f ca="1">SUMIF($E$6:$H$129,"211",$H$6:$J$128)</f>
        <v>10099500000</v>
      </c>
      <c r="I134" s="163">
        <f ca="1">SUMIF($E$6:$I$129,"211",$I$6:$J$128)</f>
        <v>-388026512</v>
      </c>
      <c r="J134" s="162">
        <f>SUMIF($E$6:$E$129,"211",$J$6:$J$129)</f>
        <v>863411047</v>
      </c>
      <c r="K134" s="162">
        <f>SUMIF($E$6:$E$129,"211",$K$6:$K$129)</f>
        <v>791568417</v>
      </c>
      <c r="L134" s="162">
        <f>SUMIF($E$6:$E$129,"211",$L$6:$L$129)</f>
        <v>0</v>
      </c>
      <c r="M134" s="162">
        <f>SUMIF($E$6:$E$129,"211",$M$6:$M$129)</f>
        <v>4719708745</v>
      </c>
      <c r="N134" s="164">
        <f>SUMIF($E$6:$E$128,"211",$N$6:$N$128)</f>
        <v>0</v>
      </c>
      <c r="O134" s="161">
        <f>SUMIF($E$6:$E$128,"211",$O$6:$O$128)</f>
        <v>0</v>
      </c>
      <c r="P134" s="161">
        <f>SUMIF($E$6:$E$128,"211",$P$6:$P$128)</f>
        <v>212423035</v>
      </c>
      <c r="Q134" s="161">
        <f>SUMIF($E$6:$E$128,"211",$Q$6:$Q$128)</f>
        <v>150000000</v>
      </c>
      <c r="R134" s="161">
        <f>SUMIF($E$6:$E$128,"211",$R$6:$R$128)</f>
        <v>0</v>
      </c>
      <c r="S134" s="161">
        <f>SUMIF($E$6:$E$128,"211",$S$6:$S$128)</f>
        <v>346546789</v>
      </c>
      <c r="T134" s="161">
        <f>SUMIF($E$6:$E$128,"211",$T$6:$T$128)</f>
        <v>70000000</v>
      </c>
      <c r="U134" s="161">
        <f>SUMIF($E$6:$E$128,"211",$U$6:$U$128)</f>
        <v>620266250</v>
      </c>
      <c r="V134" s="161">
        <f>SUMIF($E$6:$E$128,"211",$V$6:$V$128)</f>
        <v>47237313</v>
      </c>
      <c r="W134" s="161">
        <f>SUMIF($E$6:$E$128,"211",$W$6:$W$128)</f>
        <v>76223671</v>
      </c>
      <c r="X134" s="161">
        <f>SUMIF($E$6:$E$128,"211",$X$6:$X$128)</f>
        <v>40997954</v>
      </c>
      <c r="Y134" s="161">
        <f>SUMIF($E$6:$E$128,"211",$Y$6:$Y$128)</f>
        <v>0</v>
      </c>
      <c r="Z134" s="161">
        <f>SUMIF($E$6:$E$128,"211",$Z$6:$Z$128)</f>
        <v>0</v>
      </c>
      <c r="AA134" s="161">
        <f>SUMIF($E$6:$E$128,"211",$AA$6:$AA$128)</f>
        <v>1288177577</v>
      </c>
      <c r="AB134" s="161">
        <f>SUMIF($E$6:$E$128,"211",$AB$6:$AB$128)</f>
        <v>90000000</v>
      </c>
      <c r="AC134" s="161">
        <f>SUMIF($E$6:$E$128,"211",$AC$6:$AC$128)</f>
        <v>124281898</v>
      </c>
      <c r="AD134" s="161"/>
      <c r="AE134" s="161">
        <f>SUMIF($E$6:$E$128,"211",$AE$6:$AE$128)</f>
        <v>46954549</v>
      </c>
      <c r="AF134" s="161">
        <f>SUMIF($E$6:$E$128,"211",$AF$6:$AF$128)</f>
        <v>999729267</v>
      </c>
      <c r="AG134" s="46">
        <f t="shared" ca="1" si="105"/>
        <v>0.46788112996762643</v>
      </c>
      <c r="AH134" s="164">
        <f>SUMIF($E$6:$E$128,"211",$AH$6:$AH$128)</f>
        <v>4906915755</v>
      </c>
      <c r="AI134" s="164">
        <f>SUMIF($E$6:$E$128,"211",$AI$6:$AI$128)</f>
        <v>310580287</v>
      </c>
      <c r="AJ134" s="164">
        <f>SUMIF($E$6:$E$128,"211",$AJ$6:$AJ$128)</f>
        <v>593121353</v>
      </c>
      <c r="AK134" s="164">
        <f>SUMIF($E$6:$E$128,"211",$AK$6:$AK$128)</f>
        <v>0</v>
      </c>
      <c r="AL134" s="164">
        <f>SUMIF($E$6:$E$128,"211",$AL$6:$AL$128)</f>
        <v>1746665190</v>
      </c>
      <c r="AM134" s="164">
        <f>SUMIF($E$6:$E$128,"211",$AM$6:$AM$128)</f>
        <v>0</v>
      </c>
      <c r="AN134" s="164">
        <f>SUMIF($E$6:$E$128,"211",$AN$6:$AN$128)</f>
        <v>0</v>
      </c>
      <c r="AO134" s="164">
        <f>SUMIF($E$6:$E$128,"211",$AO$6:$AO$128)</f>
        <v>100000000</v>
      </c>
      <c r="AP134" s="164">
        <f>SUMIF($E$6:$E$128,"211",$AP$6:$AP$128)</f>
        <v>0</v>
      </c>
      <c r="AQ134" s="164">
        <f>SUMIF($E$6:$E$128,"211",$AQ$6:$AQ$128)</f>
        <v>0</v>
      </c>
      <c r="AR134" s="164">
        <f>SUMIF($E$6:$E$128,"211",$AR$6:$AR$128)</f>
        <v>50000000</v>
      </c>
      <c r="AS134" s="164">
        <f>SUMIF($E$6:$E$128,"211",$AS$6:$AS$128)</f>
        <v>0</v>
      </c>
      <c r="AT134" s="164">
        <f>SUMIF($E$6:$E$128,"211",$AT$6:$AT$128)</f>
        <v>324980000</v>
      </c>
      <c r="AU134" s="164">
        <f>SUMIF($E$6:$E$128,"211",$AU$6:$AU$128)</f>
        <v>47237313</v>
      </c>
      <c r="AV134" s="164">
        <f>SUMIF($E$6:$E$128,"211",$AV$6:$AV$128)</f>
        <v>0</v>
      </c>
      <c r="AW134" s="164">
        <f>SUMIF($E$6:$E$128,"211",$AW$6:$AW$128)</f>
        <v>30000000</v>
      </c>
      <c r="AX134" s="164">
        <f>SUMIF($E$6:$E$128,"211",$AX$6:$AX$128)</f>
        <v>0</v>
      </c>
      <c r="AY134" s="164">
        <f>SUMIF($E$6:$E$128,"211",$AY$6:$AY$128)</f>
        <v>0</v>
      </c>
      <c r="AZ134" s="164">
        <f>SUMIF($E$6:$E$128,"211",$AZ$6:$AZ$128)</f>
        <v>794973409</v>
      </c>
      <c r="BA134" s="164">
        <f>SUMIF($E$6:$E$128,"211",$BA$6:$BA$128)</f>
        <v>90000000</v>
      </c>
      <c r="BB134" s="164">
        <f>SUMIF($E$6:$E$128,"211",$BB$6:$BB$128)</f>
        <v>49963689</v>
      </c>
      <c r="BC134" s="164">
        <f>SUMIF($E$6:$E$128,"211",$BC$6:$BC$128)</f>
        <v>0</v>
      </c>
      <c r="BD134" s="164">
        <f>SUMIF($E$6:$E$128,"211",$BD$6:$BD$128)</f>
        <v>46954549</v>
      </c>
      <c r="BE134" s="164">
        <f>SUMIF($E$6:$E$128,"211",$BE$6:$BE$128)</f>
        <v>722439965</v>
      </c>
      <c r="BF134" s="146">
        <f t="shared" ca="1" si="106"/>
        <v>0.53211887003237357</v>
      </c>
      <c r="BG134" s="49">
        <f t="shared" si="107"/>
        <v>5580610757</v>
      </c>
      <c r="BH134" s="165">
        <f>SUMIF($E$6:$E$128,"211",$BH$6:$BH$128)</f>
        <v>552830760</v>
      </c>
      <c r="BI134" s="165">
        <f>SUMIF($E$6:$E$128,"211",$BI$6:$BI$128)</f>
        <v>198447064</v>
      </c>
      <c r="BJ134" s="165">
        <f>SUMIF($E$6:$E$128,"211",$BJ$6:$BJ$128)</f>
        <v>0</v>
      </c>
      <c r="BK134" s="165">
        <f>SUMIF($E$6:$E$128,"211",$BK$6:$BK$128)</f>
        <v>2973043555</v>
      </c>
      <c r="BL134" s="165">
        <f>SUMIF($E$6:$E$128,"211",$BL$6:$BL$128)</f>
        <v>0</v>
      </c>
      <c r="BM134" s="165">
        <f>SUMIF($E$6:$E$128,"211",$BM$6:$BM$128)</f>
        <v>0</v>
      </c>
      <c r="BN134" s="165">
        <f>SUMIF($E$6:$E$128,"211",$BN$6:$BN$128)</f>
        <v>112423035</v>
      </c>
      <c r="BO134" s="165">
        <f>SUMIF($E$6:$E$128,"211",$BO$6:$BO$128)</f>
        <v>150000000</v>
      </c>
      <c r="BP134" s="165">
        <f>SUMIF($E$6:$E$128,"211",$BP$6:$BP$128)</f>
        <v>0</v>
      </c>
      <c r="BQ134" s="165">
        <f>SUMIF($E$6:$E$128,"211",$BQ$6:$BQ$128)</f>
        <v>296546789</v>
      </c>
      <c r="BR134" s="165">
        <f>SUMIF($E$6:$E$128,"211",$BR$6:$BR$128)</f>
        <v>70000000</v>
      </c>
      <c r="BS134" s="165">
        <f>SUMIF($E$6:$E$128,"211",$BS$6:$BS$128)</f>
        <v>295286250</v>
      </c>
      <c r="BT134" s="165">
        <f>SUMIF($E$6:$E$128,"211",$BT$6:$BT$128)</f>
        <v>0</v>
      </c>
      <c r="BU134" s="165">
        <f>SUMIF($E$6:$E$128,"211",$BU$6:$BU$128)</f>
        <v>76223671</v>
      </c>
      <c r="BV134" s="165">
        <f>SUMIF($E$6:$E$128,"211",$BV$6:$BV$128)</f>
        <v>10997954</v>
      </c>
      <c r="BW134" s="165">
        <f>SUMIF($E$6:$E$128,"211",$BW$6:$BW$128)</f>
        <v>0</v>
      </c>
      <c r="BX134" s="165">
        <f>SUMIF($E$6:$E$128,"211",$BX$6:$BX$128)</f>
        <v>0</v>
      </c>
      <c r="BY134" s="165">
        <f>SUMIF($E$6:$E$128,"211",$BY$6:$BY$128)</f>
        <v>493204168</v>
      </c>
      <c r="BZ134" s="165">
        <f>SUMIF($E$6:$E$128,"211",$BZ$6:$BZ$128)</f>
        <v>0</v>
      </c>
      <c r="CA134" s="165">
        <f>SUMIF($E$6:$E$128,"211",$CA$6:$CA$128)</f>
        <v>74318209</v>
      </c>
      <c r="CB134" s="165">
        <f>SUMIF($E$6:$E$128,"211",$CB$6:$CB$128)</f>
        <v>0</v>
      </c>
      <c r="CC134" s="165">
        <f>SUMIF($E$6:$E$128,"211",$CC$6:$CC$128)</f>
        <v>0</v>
      </c>
      <c r="CD134" s="166">
        <f>SUMIF($E$6:$E$128,"211",$CD$6:$CD$128)</f>
        <v>277289302</v>
      </c>
      <c r="CE134" s="46">
        <f t="shared" ca="1" si="108"/>
        <v>0.20409341941122905</v>
      </c>
      <c r="CF134" s="78">
        <f t="shared" si="109"/>
        <v>2140435147</v>
      </c>
      <c r="CG134" s="164">
        <f>SUMIF($E$6:$E$128,"211",$CG$6:$CG$128)</f>
        <v>0</v>
      </c>
      <c r="CH134" s="164">
        <f>SUMIF($E$6:$E$128,"211",$CH$6:$CH$128)</f>
        <v>446957380</v>
      </c>
      <c r="CI134" s="164">
        <f>SUMIF($E$6:$E$128,"211",$CI$6:$CI$128)</f>
        <v>0</v>
      </c>
      <c r="CJ134" s="164">
        <f>SUMIF($E$6:$E$128,"211",$CJ$6:$CJ$128)</f>
        <v>145850776</v>
      </c>
      <c r="CK134" s="164">
        <f>SUMIF($E$6:$E$128,"211",$CK$6:$CK$128)</f>
        <v>0</v>
      </c>
      <c r="CL134" s="164">
        <f>SUMIF($E$6:$E$128,"211",$CL$6:$CL$128)</f>
        <v>0</v>
      </c>
      <c r="CM134" s="164">
        <f>SUMIF($E$6:$E$128,"211",$CM$6:$CM$128)</f>
        <v>100000000</v>
      </c>
      <c r="CN134" s="164">
        <f>SUMIF($E$6:$E$128,"211",$CN$6:$CN$128)</f>
        <v>0</v>
      </c>
      <c r="CO134" s="164">
        <f>SUMIF($E$6:$E$128,"211",$CO$6:$CO$128)</f>
        <v>0</v>
      </c>
      <c r="CP134" s="164">
        <f>SUMIF($E$6:$E$128,"211",$CP$6:$CP$128)</f>
        <v>0</v>
      </c>
      <c r="CQ134" s="164">
        <f>SUMIF($E$6:$E$128,"211",$CQ$6:$CQ$128)</f>
        <v>0</v>
      </c>
      <c r="CR134" s="164">
        <f>SUMIF($E$6:$E$128,"211",$CR$6:$CR$128)</f>
        <v>324980000</v>
      </c>
      <c r="CS134" s="164">
        <f>SUMIF($E$6:$E$128,"211",$CS$6:$CS$128)</f>
        <v>0</v>
      </c>
      <c r="CT134" s="164">
        <f>SUMIF($E$6:$E$128,"211",$CT$6:$CT$128)</f>
        <v>0</v>
      </c>
      <c r="CU134" s="164">
        <f>SUMIF($E$6:$E$128,"211",$CU$6:$CU$128)</f>
        <v>0</v>
      </c>
      <c r="CV134" s="164">
        <f>SUMIF($E$6:$E$128,"211",$CV$6:$CV$128)</f>
        <v>0</v>
      </c>
      <c r="CW134" s="164">
        <f>SUMIF($E$6:$E$128,"211",$CW$6:$CW$128)</f>
        <v>0</v>
      </c>
      <c r="CX134" s="164">
        <f>SUMIF($E$6:$E$128,"211",$CX$6:$CX$128)</f>
        <v>710418850</v>
      </c>
      <c r="CY134" s="164">
        <f>SUMIF($E$6:$E$128,"211",$CY$6:$CY$128)</f>
        <v>82861933</v>
      </c>
      <c r="CZ134" s="164">
        <f>SUMIF($E$6:$E$128,"211",$CZ$6:$CZ$128)</f>
        <v>0</v>
      </c>
      <c r="DA134" s="164">
        <f>SUMIF($E$6:$E$128,"211",$DA$6:$DA$128)</f>
        <v>0</v>
      </c>
      <c r="DB134" s="164">
        <f>SUMIF($E$6:$E$128,"211",$DB$6:$DB$128)</f>
        <v>44817066</v>
      </c>
      <c r="DC134" s="167">
        <f>SUMIF($E$6:$E$128,"211",$DC$6:$DC$128)</f>
        <v>284549142</v>
      </c>
      <c r="DD134" s="46">
        <f t="shared" ca="1" si="110"/>
        <v>0.79590658058877095</v>
      </c>
      <c r="DE134" s="49">
        <f t="shared" ca="1" si="111"/>
        <v>8347091365</v>
      </c>
      <c r="DF134" s="165">
        <f ca="1">SUMIF($E$6:$E$129,"211",$DF$6:$DF$128)</f>
        <v>863411047</v>
      </c>
      <c r="DG134" s="165">
        <f>SUMIF($E$6:$E$128,"211",$DG$6:$DG$128)</f>
        <v>344611037</v>
      </c>
      <c r="DH134" s="165">
        <f>SUMIF($E$6:$E$128,"211",$DH$6:$DH$128)</f>
        <v>0</v>
      </c>
      <c r="DI134" s="165">
        <f>SUMIF($E$6:$E$128,"211",$DI$6:$DI$128)</f>
        <v>4573857969</v>
      </c>
      <c r="DJ134" s="165">
        <f>SUMIF($E$6:$E$128,"211",$DJ$6:$DJ$128)</f>
        <v>0</v>
      </c>
      <c r="DK134" s="165">
        <f>SUMIF($E$6:$E$128,"211",$DK$6:$DK$128)</f>
        <v>0</v>
      </c>
      <c r="DL134" s="165">
        <f>SUMIF($E$6:$E$128,"211",$DL$6:$DL$128)</f>
        <v>112423035</v>
      </c>
      <c r="DM134" s="165">
        <f>SUMIF($E$6:$E$128,"211",$DM$6:$DM$128)</f>
        <v>150000000</v>
      </c>
      <c r="DN134" s="165">
        <f>SUMIF($E$6:$E$128,"211",$DN$6:$DN$128)</f>
        <v>0</v>
      </c>
      <c r="DO134" s="165">
        <f>SUMIF($E$6:$E$128,"211",$DO$6:$DO$128)</f>
        <v>346546789</v>
      </c>
      <c r="DP134" s="168">
        <f>SUMIF($E$6:$E$128,"211",$DP$6:$DP$128)</f>
        <v>70000000</v>
      </c>
      <c r="DQ134" s="168">
        <f>SUMIF($E$6:$E$128,"211",$DQ$6:$DQ$128)</f>
        <v>295286250</v>
      </c>
      <c r="DR134" s="168">
        <f>SUMIF($E$6:$E$128,"211",$DR$6:$DR$128)</f>
        <v>47237313</v>
      </c>
      <c r="DS134" s="168">
        <f>SUMIF($E$6:$E$128,"211",$DS$6:$DS$128)</f>
        <v>76223671</v>
      </c>
      <c r="DT134" s="168">
        <f>SUMIF($E$6:$E$128,"211",$DT$6:$DT$128)</f>
        <v>40997954</v>
      </c>
      <c r="DU134" s="168">
        <f>SUMIF($E$6:$E$128,"211",$DU$6:$DU$128)</f>
        <v>0</v>
      </c>
      <c r="DV134" s="168">
        <f>SUMIF($E$6:$E$128,"211",$DV$6:$DV$128)</f>
        <v>0</v>
      </c>
      <c r="DW134" s="168">
        <f>SUMIF($E$6:$E$128,"211",$DW$6:$DW$128)</f>
        <v>577758727</v>
      </c>
      <c r="DX134" s="168">
        <f>SUMIF($E$6:$E$128,"211",$DX$6:$DX$128)</f>
        <v>7138067</v>
      </c>
      <c r="DY134" s="168">
        <f>SUMIF($E$6:$E$128,"211",$DY$6:$DY$128)</f>
        <v>124281898</v>
      </c>
      <c r="DZ134" s="168">
        <f>SUMIF($E$6:$E$128,"211",$DZ$6:$DZ$128)</f>
        <v>0</v>
      </c>
      <c r="EA134" s="168">
        <f>SUMIF($E$6:$E$128,"211",$EA$6:$EA$128)</f>
        <v>2137483</v>
      </c>
      <c r="EB134" s="168">
        <f>SUMIF($E$6:$E$128,"211",$EB$6:$EB$128)</f>
        <v>715180125</v>
      </c>
      <c r="ED134" s="201" t="s">
        <v>391</v>
      </c>
      <c r="EE134" s="86">
        <f ca="1">+G133</f>
        <v>14944040739</v>
      </c>
      <c r="EF134" s="86">
        <f>+CF133</f>
        <v>8369634138</v>
      </c>
      <c r="EG134" s="205">
        <f ca="1">+CE133</f>
        <v>0.56006499742452287</v>
      </c>
    </row>
    <row r="135" spans="1:137" ht="18" customHeight="1" x14ac:dyDescent="0.25">
      <c r="C135" s="169"/>
      <c r="D135" s="160" t="s">
        <v>236</v>
      </c>
      <c r="E135" s="170">
        <v>301</v>
      </c>
      <c r="F135" s="161"/>
      <c r="G135" s="162">
        <f ca="1">SUMIF($E$6:$G$129,"301",$G$6:$J$128)</f>
        <v>4618928674</v>
      </c>
      <c r="H135" s="163">
        <f ca="1">SUMIF($E$6:$H$129,"301",$H$6:$J$128)</f>
        <v>4682573500</v>
      </c>
      <c r="I135" s="163">
        <f ca="1">SUMIF($E$6:$I$129,"301",$I$6:$J$128)</f>
        <v>63644826</v>
      </c>
      <c r="J135" s="162">
        <f>SUMIF($E$6:$E$129,"301",$J$6:$J$129)</f>
        <v>1124229659</v>
      </c>
      <c r="K135" s="162">
        <f>SUMIF($E$6:$E$129,"301",$K$6:$K$129)</f>
        <v>248478958</v>
      </c>
      <c r="L135" s="162">
        <f>SUMIF($E$6:$E$129,"301",$L$6:$L$129)</f>
        <v>24243035</v>
      </c>
      <c r="M135" s="162">
        <f>SUMIF($E$6:$E$129,"301",$M$6:$M$129)</f>
        <v>405520570</v>
      </c>
      <c r="N135" s="164">
        <f>SUMIF($E$6:$E$128,"301",$N$6:$N$128)</f>
        <v>0</v>
      </c>
      <c r="O135" s="161">
        <f>SUMIF($E$6:$E$128,"301",$O$6:$O$128)</f>
        <v>0</v>
      </c>
      <c r="P135" s="161">
        <f>SUMIF($E$6:$E$128,"301",$P$6:$P$128)</f>
        <v>0</v>
      </c>
      <c r="Q135" s="161">
        <f>SUMIF($E$6:$E$128,"301",$Q$6:$Q$128)</f>
        <v>0</v>
      </c>
      <c r="R135" s="161">
        <f>SUMIF($E$6:$E$128,"301",$R$6:$R$128)</f>
        <v>0</v>
      </c>
      <c r="S135" s="161">
        <f>SUMIF($E$6:$E$128,"301",$S$6:$S$128)</f>
        <v>0</v>
      </c>
      <c r="T135" s="161">
        <f>SUMIF($E$6:$E$128,"301",$T$6:$T$128)</f>
        <v>0</v>
      </c>
      <c r="U135" s="161">
        <f>SUMIF($E$6:$E$128,"301",$U$6:$U$128)</f>
        <v>0</v>
      </c>
      <c r="V135" s="161">
        <f>SUMIF($E$6:$E$128,"301",$V$6:$V$128)</f>
        <v>0</v>
      </c>
      <c r="W135" s="161">
        <f>SUMIF($E$6:$E$128,"301",$W$6:$W$128)</f>
        <v>0</v>
      </c>
      <c r="X135" s="161">
        <f>SUMIF($E$6:$E$128,"301",$X$6:$X$128)</f>
        <v>0</v>
      </c>
      <c r="Y135" s="161">
        <f>SUMIF($E$6:$E$128,"301",$Y$6:$Y$128)</f>
        <v>0</v>
      </c>
      <c r="Z135" s="161">
        <f>SUMIF($E$6:$E$128,"301",$Z$6:$Z$128)</f>
        <v>456521042</v>
      </c>
      <c r="AA135" s="161">
        <f>SUMIF($E$6:$E$128,"301",$AA$6:$AA$128)</f>
        <v>549500000</v>
      </c>
      <c r="AB135" s="161">
        <f>SUMIF($E$6:$E$128,"301",$AB$6:$AB$128)</f>
        <v>0</v>
      </c>
      <c r="AC135" s="161">
        <f>SUMIF($E$6:$E$128,"301",$AC$6:$AC$128)</f>
        <v>1729072560</v>
      </c>
      <c r="AD135" s="161"/>
      <c r="AE135" s="161">
        <f>SUMIF($E$6:$E$128,"301",$AE$6:$AE$128)</f>
        <v>0</v>
      </c>
      <c r="AF135" s="161">
        <f>SUMIF($E$6:$E$128,"301",$AF$6:$AF$128)</f>
        <v>81362850</v>
      </c>
      <c r="AG135" s="46">
        <f t="shared" ca="1" si="105"/>
        <v>0.59613135628168823</v>
      </c>
      <c r="AH135" s="164">
        <f>SUMIF($E$6:$E$128,"301",$AH$6:$AH$128)</f>
        <v>2753488215</v>
      </c>
      <c r="AI135" s="164">
        <f>SUMIF($E$6:$E$128,"301",$AI$6:$AI$128)</f>
        <v>470602826</v>
      </c>
      <c r="AJ135" s="164">
        <f>SUMIF($E$6:$E$128,"301",$AJ$6:$AJ$128)</f>
        <v>241138335</v>
      </c>
      <c r="AK135" s="164">
        <f>SUMIF($E$6:$E$128,"301",$AK$6:$AK$128)</f>
        <v>2000000</v>
      </c>
      <c r="AL135" s="164">
        <f>SUMIF($E$6:$E$128,"301",$AL$6:$AL$128)</f>
        <v>191740697</v>
      </c>
      <c r="AM135" s="164">
        <f>SUMIF($E$6:$E$128,"301",$AM$6:$AM$128)</f>
        <v>0</v>
      </c>
      <c r="AN135" s="164">
        <f>SUMIF($E$6:$E$128,"301",$AN$6:$AN$128)</f>
        <v>0</v>
      </c>
      <c r="AO135" s="164">
        <f>SUMIF($E$6:$E$128,"301",$AO$6:$AO$128)</f>
        <v>0</v>
      </c>
      <c r="AP135" s="164">
        <f>SUMIF($E$6:$E$128,"301",$AP$6:$AP$128)</f>
        <v>0</v>
      </c>
      <c r="AQ135" s="164">
        <f>SUMIF($E$6:$E$128,"301",$AQ$6:$AQ$128)</f>
        <v>0</v>
      </c>
      <c r="AR135" s="164">
        <f>SUMIF($E$6:$E$128,"301",$AR$6:$AR$128)</f>
        <v>0</v>
      </c>
      <c r="AS135" s="164">
        <f>SUMIF($E$6:$E$128,"301",$AS$6:$AS$128)</f>
        <v>0</v>
      </c>
      <c r="AT135" s="164">
        <f>SUMIF($E$6:$E$128,"301",$AT$6:$AT$128)</f>
        <v>0</v>
      </c>
      <c r="AU135" s="164">
        <f>SUMIF($E$6:$E$128,"301",$AU$6:$AU$128)</f>
        <v>0</v>
      </c>
      <c r="AV135" s="164">
        <f>SUMIF($E$6:$E$128,"301",$AV$6:$AV$128)</f>
        <v>0</v>
      </c>
      <c r="AW135" s="164">
        <f>SUMIF($E$6:$E$128,"301",$AW$6:$AW$128)</f>
        <v>0</v>
      </c>
      <c r="AX135" s="164">
        <f>SUMIF($E$6:$E$128,"301",$AX$6:$AX$128)</f>
        <v>0</v>
      </c>
      <c r="AY135" s="164">
        <f>SUMIF($E$6:$E$128,"301",$AY$6:$AY$128)</f>
        <v>402845000</v>
      </c>
      <c r="AZ135" s="164">
        <f>SUMIF($E$6:$E$128,"301",$AZ$6:$AZ$128)</f>
        <v>313939058</v>
      </c>
      <c r="BA135" s="164">
        <f>SUMIF($E$6:$E$128,"301",$BA$6:$BA$128)</f>
        <v>0</v>
      </c>
      <c r="BB135" s="164">
        <f>SUMIF($E$6:$E$128,"301",$BB$6:$BB$128)</f>
        <v>1052859449</v>
      </c>
      <c r="BC135" s="164">
        <f>SUMIF($E$6:$E$128,"301",$BC$6:$BC$128)</f>
        <v>0</v>
      </c>
      <c r="BD135" s="164">
        <f>SUMIF($E$6:$E$128,"301",$BD$6:$BD$128)</f>
        <v>0</v>
      </c>
      <c r="BE135" s="164">
        <f>SUMIF($E$6:$E$128,"301",$BE$6:$BE$128)</f>
        <v>78362850</v>
      </c>
      <c r="BF135" s="146">
        <f t="shared" ca="1" si="106"/>
        <v>0.40386864371831177</v>
      </c>
      <c r="BG135" s="49">
        <f t="shared" si="107"/>
        <v>1865440459</v>
      </c>
      <c r="BH135" s="165">
        <f>SUMIF($E$6:$E$128,"301",$BH$6:$BH$128)</f>
        <v>653626833</v>
      </c>
      <c r="BI135" s="165">
        <f>SUMIF($E$6:$E$128,"301",$BI$6:$BI$128)</f>
        <v>7340623</v>
      </c>
      <c r="BJ135" s="165">
        <f>SUMIF($E$6:$E$128,"301",$BJ$6:$BJ$128)</f>
        <v>22243035</v>
      </c>
      <c r="BK135" s="165">
        <f>SUMIF($E$6:$E$128,"301",$BK$6:$BK$128)</f>
        <v>213779873</v>
      </c>
      <c r="BL135" s="165">
        <f>SUMIF($E$6:$E$128,"301",$BL$6:$BL$128)</f>
        <v>0</v>
      </c>
      <c r="BM135" s="165">
        <f>SUMIF($E$6:$E$128,"301",$BM$6:$BM$128)</f>
        <v>0</v>
      </c>
      <c r="BN135" s="165">
        <f>SUMIF($E$6:$E$128,"301",$BN$6:$BN$128)</f>
        <v>0</v>
      </c>
      <c r="BO135" s="165">
        <f>SUMIF($E$6:$E$128,"301",$BO$6:$BO$128)</f>
        <v>0</v>
      </c>
      <c r="BP135" s="165">
        <f>SUMIF($E$6:$E$128,"301",$BP$6:$BP$128)</f>
        <v>0</v>
      </c>
      <c r="BQ135" s="165">
        <f>SUMIF($E$6:$E$128,"301",$BQ$6:$BQ$128)</f>
        <v>0</v>
      </c>
      <c r="BR135" s="165">
        <f>SUMIF($E$6:$E$128,"301",$BR$6:$BR$128)</f>
        <v>0</v>
      </c>
      <c r="BS135" s="165">
        <f>SUMIF($E$6:$E$128,"301",$BS$6:$BS$128)</f>
        <v>0</v>
      </c>
      <c r="BT135" s="165">
        <f>SUMIF($E$6:$E$128,"301",$BT$6:$BT$128)</f>
        <v>0</v>
      </c>
      <c r="BU135" s="165">
        <f>SUMIF($E$6:$E$128,"301",$BU$6:$BU$128)</f>
        <v>0</v>
      </c>
      <c r="BV135" s="165">
        <f>SUMIF($E$6:$E$128,"301",$BV$6:$BV$128)</f>
        <v>0</v>
      </c>
      <c r="BW135" s="165">
        <f>SUMIF($E$6:$E$128,"301",$BW$6:$BW$128)</f>
        <v>0</v>
      </c>
      <c r="BX135" s="165">
        <f>SUMIF($E$6:$E$128,"301",$BX$6:$BX$128)</f>
        <v>53676042</v>
      </c>
      <c r="BY135" s="165">
        <f>SUMIF($E$6:$E$128,"301",$BY$6:$BY$128)</f>
        <v>235560942</v>
      </c>
      <c r="BZ135" s="165">
        <f>SUMIF($E$6:$E$128,"301",$BZ$6:$BZ$128)</f>
        <v>0</v>
      </c>
      <c r="CA135" s="165">
        <f>SUMIF($E$6:$E$128,"301",$CA$6:$CA$128)</f>
        <v>676213111</v>
      </c>
      <c r="CB135" s="165">
        <f>SUMIF($E$6:$E$128,"301",$CB$6:$CB$128)</f>
        <v>0</v>
      </c>
      <c r="CC135" s="165">
        <f>SUMIF($E$6:$E$128,"301",$CC$6:$CC$128)</f>
        <v>0</v>
      </c>
      <c r="CD135" s="166">
        <f>SUMIF($E$6:$E$128,"301",$CD$6:$CD$128)</f>
        <v>3000000</v>
      </c>
      <c r="CE135" s="46">
        <f t="shared" ca="1" si="108"/>
        <v>0.46415093743878844</v>
      </c>
      <c r="CF135" s="78">
        <f t="shared" si="109"/>
        <v>2143880074</v>
      </c>
      <c r="CG135" s="164">
        <f>SUMIF($E$6:$E$128,"301",$CG$6:$CG$128)</f>
        <v>340401333</v>
      </c>
      <c r="CH135" s="164">
        <f>SUMIF($E$6:$E$128,"301",$CH$6:$CH$128)</f>
        <v>240679663</v>
      </c>
      <c r="CI135" s="164">
        <f>SUMIF($E$6:$E$128,"301",$CI$6:$CI$128)</f>
        <v>2000000</v>
      </c>
      <c r="CJ135" s="164">
        <f>SUMIF($E$6:$E$128,"301",$CJ$6:$CJ$128)</f>
        <v>152485132</v>
      </c>
      <c r="CK135" s="164">
        <f>SUMIF($E$6:$E$128,"301",$CK$6:$CK$128)</f>
        <v>0</v>
      </c>
      <c r="CL135" s="164">
        <f>SUMIF($E$6:$E$128,"301",$CL$6:$CL$128)</f>
        <v>0</v>
      </c>
      <c r="CM135" s="164">
        <f>SUMIF($E$6:$E$128,"301",$CM$6:$CM$128)</f>
        <v>0</v>
      </c>
      <c r="CN135" s="164">
        <f>SUMIF($E$6:$E$128,"301",$CN$6:$CN$128)</f>
        <v>0</v>
      </c>
      <c r="CO135" s="164">
        <f>SUMIF($E$6:$E$128,"301",$CO$6:$CO$128)</f>
        <v>0</v>
      </c>
      <c r="CP135" s="164">
        <f>SUMIF($E$6:$E$128,"301",$CP$6:$CP$128)</f>
        <v>0</v>
      </c>
      <c r="CQ135" s="164">
        <f>SUMIF($E$6:$E$128,"301",$CQ$6:$CQ$128)</f>
        <v>0</v>
      </c>
      <c r="CR135" s="164">
        <f>SUMIF($E$6:$E$128,"301",$CR$6:$CR$128)</f>
        <v>0</v>
      </c>
      <c r="CS135" s="164">
        <f>SUMIF($E$6:$E$128,"301",$CS$6:$CS$128)</f>
        <v>0</v>
      </c>
      <c r="CT135" s="164">
        <f>SUMIF($E$6:$E$128,"301",$CT$6:$CT$128)</f>
        <v>0</v>
      </c>
      <c r="CU135" s="164">
        <f>SUMIF($E$6:$E$128,"301",$CU$6:$CU$128)</f>
        <v>0</v>
      </c>
      <c r="CV135" s="164">
        <f>SUMIF($E$6:$E$128,"301",$CV$6:$CV$128)</f>
        <v>0</v>
      </c>
      <c r="CW135" s="164">
        <f>SUMIF($E$6:$E$128,"301",$CW$6:$CW$128)</f>
        <v>372027329</v>
      </c>
      <c r="CX135" s="164">
        <f>SUMIF($E$6:$E$128,"301",$CX$6:$CX$128)</f>
        <v>139093830</v>
      </c>
      <c r="CY135" s="164">
        <f>SUMIF($E$6:$E$128,"301",$CY$6:$CY$128)</f>
        <v>0</v>
      </c>
      <c r="CZ135" s="164">
        <f>SUMIF($E$6:$E$128,"301",$CZ$6:$CZ$128)</f>
        <v>829578631</v>
      </c>
      <c r="DA135" s="164">
        <f>SUMIF($E$6:$E$128,"301",$DA$6:$DA$128)</f>
        <v>0</v>
      </c>
      <c r="DB135" s="164">
        <f>SUMIF($E$6:$E$128,"301",$DB$6:$DB$128)</f>
        <v>0</v>
      </c>
      <c r="DC135" s="167">
        <f>SUMIF($E$6:$E$128,"301",$DC$6:$DC$128)</f>
        <v>67614156</v>
      </c>
      <c r="DD135" s="46">
        <f t="shared" ca="1" si="110"/>
        <v>0.53584906256121156</v>
      </c>
      <c r="DE135" s="49">
        <f t="shared" ca="1" si="111"/>
        <v>2475048600</v>
      </c>
      <c r="DF135" s="165">
        <f ca="1">SUMIF($E$6:$E$129,"301",$DF$6:$DF$128)</f>
        <v>783828326</v>
      </c>
      <c r="DG135" s="165">
        <f>SUMIF($E$6:$E$128,"301",$DG$6:$DG$128)</f>
        <v>7799295</v>
      </c>
      <c r="DH135" s="165">
        <f>SUMIF($E$6:$E$128,"301",$DH$6:$DH$128)</f>
        <v>22243035</v>
      </c>
      <c r="DI135" s="165">
        <f>SUMIF($E$6:$E$128,"301",$DI$6:$DI$128)</f>
        <v>253035438</v>
      </c>
      <c r="DJ135" s="165">
        <f>SUMIF($E$6:$E$128,"301",$DJ$6:$DJ$128)</f>
        <v>0</v>
      </c>
      <c r="DK135" s="165">
        <f>SUMIF($E$6:$E$128,"301",$DK$6:$DK$128)</f>
        <v>0</v>
      </c>
      <c r="DL135" s="165">
        <f>SUMIF($E$6:$E$128,"301",$DL$6:$DL$128)</f>
        <v>0</v>
      </c>
      <c r="DM135" s="165">
        <f>SUMIF($E$6:$E$128,"301",$DM$6:$DM$128)</f>
        <v>0</v>
      </c>
      <c r="DN135" s="165">
        <f>SUMIF($E$6:$E$128,"301",$DN$6:$DN$128)</f>
        <v>0</v>
      </c>
      <c r="DO135" s="165">
        <f>SUMIF($E$6:$E$128,"301",$DO$6:$DO$128)</f>
        <v>0</v>
      </c>
      <c r="DP135" s="168">
        <f>SUMIF($E$6:$E$128,"301",$DP$6:$DP$128)</f>
        <v>0</v>
      </c>
      <c r="DQ135" s="168">
        <f>SUMIF($E$6:$E$128,"301",$DQ$6:$DQ$128)</f>
        <v>0</v>
      </c>
      <c r="DR135" s="168">
        <f>SUMIF($E$6:$E$128,"301",$DR$6:$DR$128)</f>
        <v>0</v>
      </c>
      <c r="DS135" s="168">
        <f>SUMIF($E$6:$E$128,"301",$DS$6:$DS$128)</f>
        <v>0</v>
      </c>
      <c r="DT135" s="168">
        <f>SUMIF($E$6:$E$128,"301",$DT$6:$DT$128)</f>
        <v>0</v>
      </c>
      <c r="DU135" s="168">
        <f>SUMIF($E$6:$E$128,"301",$DU$6:$DU$128)</f>
        <v>0</v>
      </c>
      <c r="DV135" s="168">
        <f>SUMIF($E$6:$E$128,"301",$DV$6:$DV$128)</f>
        <v>84493713</v>
      </c>
      <c r="DW135" s="168">
        <f>SUMIF($E$6:$E$128,"301",$DW$6:$DW$128)</f>
        <v>410406170</v>
      </c>
      <c r="DX135" s="168">
        <f>SUMIF($E$6:$E$128,"301",$DX$6:$DX$128)</f>
        <v>0</v>
      </c>
      <c r="DY135" s="168">
        <f>SUMIF($E$6:$E$128,"301",$DY$6:$DY$128)</f>
        <v>899493929</v>
      </c>
      <c r="DZ135" s="168">
        <f>SUMIF($E$6:$E$128,"301",$DZ$6:$DZ$128)</f>
        <v>0</v>
      </c>
      <c r="EA135" s="168">
        <f>SUMIF($E$6:$E$128,"301",$EA$6:$EA$128)</f>
        <v>0</v>
      </c>
      <c r="EB135" s="168">
        <f>SUMIF($E$6:$E$128,"301",$EB$6:$EB$128)</f>
        <v>13748694</v>
      </c>
      <c r="ED135" s="201" t="s">
        <v>392</v>
      </c>
      <c r="EE135" s="86">
        <f t="shared" ref="EE135:EE140" ca="1" si="112">+G134</f>
        <v>10487526512</v>
      </c>
      <c r="EF135" s="86">
        <f t="shared" ref="EF135:EF140" si="113">+CF134</f>
        <v>2140435147</v>
      </c>
      <c r="EG135" s="205">
        <f t="shared" ref="EG134:EG140" ca="1" si="114">+CE134</f>
        <v>0.20409341941122905</v>
      </c>
    </row>
    <row r="136" spans="1:137" ht="16.5" customHeight="1" x14ac:dyDescent="0.25">
      <c r="C136" s="169"/>
      <c r="D136" s="160" t="s">
        <v>371</v>
      </c>
      <c r="E136" s="153">
        <v>310</v>
      </c>
      <c r="F136" s="161"/>
      <c r="G136" s="162">
        <f ca="1">SUMIF($E$6:$G$129,"310",$G$6:$J$128)</f>
        <v>1420900967</v>
      </c>
      <c r="H136" s="163">
        <f ca="1">SUMIF($E$6:$H$129,"310",$H$6:$J$128)</f>
        <v>2402277636</v>
      </c>
      <c r="I136" s="163">
        <f ca="1">SUMIF($E$6:$I$129,"310",$I$6:$J$128)</f>
        <v>981376669</v>
      </c>
      <c r="J136" s="162">
        <f>SUMIF($E$6:$E$128,"310",$J$6:$J$128)</f>
        <v>0</v>
      </c>
      <c r="K136" s="162">
        <f>SUMIF($E$6:$E$128,"310",$K$6:$K$128)</f>
        <v>399183902</v>
      </c>
      <c r="L136" s="162">
        <f>SUMIF($E$6:$E$129,"310",$L$6:$L$129)</f>
        <v>0</v>
      </c>
      <c r="M136" s="162">
        <f>SUMIF($E$6:$E$129,"310",$M$6:$M$129)</f>
        <v>478050814</v>
      </c>
      <c r="N136" s="164">
        <f>SUMIF($E$6:$E$128,"310",$N$6:$N$128)</f>
        <v>0</v>
      </c>
      <c r="O136" s="161">
        <f>SUMIF($E$6:$E$128,"310",$O$6:$O$128)</f>
        <v>0</v>
      </c>
      <c r="P136" s="161">
        <f>SUMIF($E$6:$E$128,"310",$P$6:$P$128)</f>
        <v>0</v>
      </c>
      <c r="Q136" s="161">
        <f>SUMIF($E$6:$E$128,"310",$Q$6:$Q$128)</f>
        <v>0</v>
      </c>
      <c r="R136" s="161">
        <f>SUMIF($E$6:$E$128,"310",$R$6:$R$128)</f>
        <v>0</v>
      </c>
      <c r="S136" s="161">
        <f>SUMIF($E$6:$E$128,"310",$S$6:$S$128)</f>
        <v>0</v>
      </c>
      <c r="T136" s="161">
        <f>SUMIF($E$6:$E$128,"310",$T$6:$T$128)</f>
        <v>0</v>
      </c>
      <c r="U136" s="161">
        <f>SUMIF($E$6:$E$128,"310",$U$6:$U$128)</f>
        <v>22935191</v>
      </c>
      <c r="V136" s="161">
        <f>SUMIF($E$6:$E$128,"310",$V$6:$V$128)</f>
        <v>0</v>
      </c>
      <c r="W136" s="161">
        <f>SUMIF($E$6:$E$128,"310",$W$6:$W$128)</f>
        <v>0</v>
      </c>
      <c r="X136" s="161">
        <f>SUMIF($E$6:$E$128,"310",$X$6:$X$128)</f>
        <v>0</v>
      </c>
      <c r="Y136" s="161">
        <f>SUMIF($E$6:$E$128,"310",$Y$6:$Y$128)</f>
        <v>0</v>
      </c>
      <c r="Z136" s="161">
        <f>SUMIF($E$6:$E$128,"310",$Z$6:$Z$128)</f>
        <v>432000000</v>
      </c>
      <c r="AA136" s="161">
        <f>SUMIF($E$6:$E$128,"310",$AA$6:$AA$128)</f>
        <v>0</v>
      </c>
      <c r="AB136" s="161">
        <f>SUMIF($E$6:$E$128,"310",$AB$6:$AB$128)</f>
        <v>0</v>
      </c>
      <c r="AC136" s="161">
        <f>SUMIF($E$6:$E$105,"310",$AC$6:$AC$105)</f>
        <v>0</v>
      </c>
      <c r="AD136" s="161"/>
      <c r="AE136" s="161">
        <f>SUMIF($E$6:$E$128,"310",$AE$6:$AE$128)</f>
        <v>0</v>
      </c>
      <c r="AF136" s="161">
        <f>SUMIF($E$6:$E$128,"310",$AF$6:$AF$128)</f>
        <v>88731060</v>
      </c>
      <c r="AG136" s="46">
        <f t="shared" ca="1" si="105"/>
        <v>0.91449984423861685</v>
      </c>
      <c r="AH136" s="164">
        <f>SUMIF($E$6:$E$128,"310",$AH$6:$AH$128)</f>
        <v>1299413713</v>
      </c>
      <c r="AI136" s="164">
        <f>SUMIF($E$6:$E$128,"310",$AI$6:$AI$128)</f>
        <v>0</v>
      </c>
      <c r="AJ136" s="164">
        <f>SUMIF($E$6:$E$128,"310",$AJ$6:$AJ$128)</f>
        <v>370117235</v>
      </c>
      <c r="AK136" s="164">
        <f>SUMIF($E$6:$E$128,"310",$AK$6:$AK$128)</f>
        <v>0</v>
      </c>
      <c r="AL136" s="164">
        <f>SUMIF($E$6:$E$128,"310",$AL$6:$AL$128)</f>
        <v>478050814</v>
      </c>
      <c r="AM136" s="164">
        <f>SUMIF($E$6:$E$128,"310",$AM$6:$AM$128)</f>
        <v>0</v>
      </c>
      <c r="AN136" s="164">
        <f>SUMIF($E$6:$E$128,"310",$AN$6:$AN$128)</f>
        <v>0</v>
      </c>
      <c r="AO136" s="164">
        <f>SUMIF($E$6:$E$128,"310",$AO$6:$AO$128)</f>
        <v>0</v>
      </c>
      <c r="AP136" s="164">
        <f>SUMIF($E$6:$E$128,"310",$AP$6:$AP$128)</f>
        <v>0</v>
      </c>
      <c r="AQ136" s="164">
        <f>SUMIF($E$6:$E$128,"310",$AQ$6:$AQ$128)</f>
        <v>0</v>
      </c>
      <c r="AR136" s="164">
        <f>SUMIF($E$6:$E$128,"310",$AR$6:$AR$128)</f>
        <v>0</v>
      </c>
      <c r="AS136" s="164">
        <f>SUMIF($E$6:$E$128,"310",$AS$6:$AS$128)</f>
        <v>0</v>
      </c>
      <c r="AT136" s="164">
        <f>SUMIF($E$6:$E$128,"310",$AT$6:$AT$128)</f>
        <v>21358604</v>
      </c>
      <c r="AU136" s="164">
        <f>SUMIF($E$6:$E$128,"310",$AU$6:$AU$128)</f>
        <v>0</v>
      </c>
      <c r="AV136" s="164">
        <f>SUMIF($E$6:$E$128,"310",$AV$6:$AV$128)</f>
        <v>0</v>
      </c>
      <c r="AW136" s="164">
        <f>SUMIF($E$6:$E$128,"310",$AW$6:$AW$128)</f>
        <v>0</v>
      </c>
      <c r="AX136" s="164">
        <f>SUMIF($E$6:$E$128,"310",$AX$6:$AX$128)</f>
        <v>0</v>
      </c>
      <c r="AY136" s="164">
        <f>SUMIF($E$6:$E$128,"310",$AY$6:$AY$128)</f>
        <v>372000000</v>
      </c>
      <c r="AZ136" s="164">
        <f>SUMIF($E$6:$E$128,"310",$AZ$6:$AZ$128)</f>
        <v>0</v>
      </c>
      <c r="BA136" s="164">
        <f>SUMIF($E$6:$E$128,"310",$BA$6:$BA$128)</f>
        <v>0</v>
      </c>
      <c r="BB136" s="164">
        <f>SUMIF($E$6:$E$128,"310",$BB$6:$BB$128)</f>
        <v>0</v>
      </c>
      <c r="BC136" s="164">
        <f>SUMIF($E$6:$E$128,"310",$BC$6:$BC$128)</f>
        <v>0</v>
      </c>
      <c r="BD136" s="164">
        <f>SUMIF($E$6:$E$128,"310",$BD$6:$BD$128)</f>
        <v>0</v>
      </c>
      <c r="BE136" s="164">
        <f>SUMIF($E$6:$E$128,"310",$BE$6:$BE$128)</f>
        <v>57887060</v>
      </c>
      <c r="BF136" s="146">
        <f t="shared" ca="1" si="106"/>
        <v>8.5500155761383145E-2</v>
      </c>
      <c r="BG136" s="49">
        <f t="shared" si="107"/>
        <v>121487254</v>
      </c>
      <c r="BH136" s="165">
        <f>SUMIF($E$6:$E$128,"310",$BH$6:$BH$128)</f>
        <v>0</v>
      </c>
      <c r="BI136" s="165">
        <f>SUMIF($E$6:$E$128,"310",$BI$6:$BI$128)</f>
        <v>29066667</v>
      </c>
      <c r="BJ136" s="165">
        <f>SUMIF($E$6:$E$128,"310",$BJ$6:$BJ$128)</f>
        <v>0</v>
      </c>
      <c r="BK136" s="165">
        <f>SUMIF($E$6:$E$128,"310",$BK$6:$BK$128)</f>
        <v>0</v>
      </c>
      <c r="BL136" s="165">
        <f>SUMIF($E$6:$E$128,"310",$BL$6:$BL$128)</f>
        <v>0</v>
      </c>
      <c r="BM136" s="165">
        <f>SUMIF($E$6:$E$128,"310",$BM$6:$BM$128)</f>
        <v>0</v>
      </c>
      <c r="BN136" s="165">
        <f>SUMIF($E$6:$E$128,"310",$BN$6:$BN$128)</f>
        <v>0</v>
      </c>
      <c r="BO136" s="165">
        <f>SUMIF($E$6:$E$128,"310",$BO$6:$BO$128)</f>
        <v>0</v>
      </c>
      <c r="BP136" s="165">
        <f>SUMIF($E$6:$E$128,"310",$BP$6:$BP$128)</f>
        <v>0</v>
      </c>
      <c r="BQ136" s="165">
        <f>SUMIF($E$6:$E$128,"310",$BQ$6:$BQ$128)</f>
        <v>0</v>
      </c>
      <c r="BR136" s="165">
        <f>SUMIF($E$6:$E$128,"310",$BR$6:$BR$128)</f>
        <v>0</v>
      </c>
      <c r="BS136" s="165">
        <f>SUMIF($E$6:$E$128,"310",$BS$6:$BS$128)</f>
        <v>1576587</v>
      </c>
      <c r="BT136" s="165">
        <f>SUMIF($E$6:$E$128,"310",$BT$6:$BT$128)</f>
        <v>0</v>
      </c>
      <c r="BU136" s="165">
        <f>SUMIF($E$6:$E$128,"310",$BU$6:$BU$128)</f>
        <v>0</v>
      </c>
      <c r="BV136" s="165">
        <f>SUMIF($E$6:$E$128,"310",$BV$6:$BV$128)</f>
        <v>0</v>
      </c>
      <c r="BW136" s="165">
        <f>SUMIF($E$6:$E$128,"310",$BW$6:$BW$128)</f>
        <v>0</v>
      </c>
      <c r="BX136" s="165">
        <f>SUMIF($E$6:$E$128,"310",$BX$6:$BX$128)</f>
        <v>60000000</v>
      </c>
      <c r="BY136" s="165">
        <f>SUMIF($E$6:$E$128,"310",$BY$6:$BY$128)</f>
        <v>0</v>
      </c>
      <c r="BZ136" s="165">
        <f>SUMIF($E$6:$E$128,"310",$BZ$6:$BZ$128)</f>
        <v>0</v>
      </c>
      <c r="CA136" s="165">
        <f>SUMIF($E$6:$E$128,"310",$CA$6:$CA$128)</f>
        <v>0</v>
      </c>
      <c r="CB136" s="165">
        <f>SUMIF($E$6:$E$128,"310",$CB$6:$CB$128)</f>
        <v>0</v>
      </c>
      <c r="CC136" s="165">
        <f>SUMIF($E$6:$E$128,"310",$CC$6:$CC$128)</f>
        <v>0</v>
      </c>
      <c r="CD136" s="166">
        <f>SUMIF($E$6:$E$128,"310",$CD$6:$CD$128)</f>
        <v>30844000</v>
      </c>
      <c r="CE136" s="46">
        <f t="shared" ca="1" si="108"/>
        <v>0.47618894892341923</v>
      </c>
      <c r="CF136" s="78">
        <f t="shared" si="109"/>
        <v>676617338</v>
      </c>
      <c r="CG136" s="164">
        <f>SUMIF($E$6:$E$128,"310",$CG$6:$CG$128)</f>
        <v>0</v>
      </c>
      <c r="CH136" s="164">
        <f>SUMIF($E$6:$E$128,"310",$CH$6:$CH$128)</f>
        <v>222976494</v>
      </c>
      <c r="CI136" s="164">
        <f>SUMIF($E$6:$E$128,"310",$CI$6:$CI$128)</f>
        <v>0</v>
      </c>
      <c r="CJ136" s="164">
        <f>SUMIF($E$6:$E$128,"310",$CJ$6:$CJ$128)</f>
        <v>227250473</v>
      </c>
      <c r="CK136" s="164">
        <f>SUMIF($E$6:$E$128,"310",$CK$6:$CK$128)</f>
        <v>0</v>
      </c>
      <c r="CL136" s="164">
        <f>SUMIF($E$6:$E$128,"310",$CL$6:$CL$128)</f>
        <v>0</v>
      </c>
      <c r="CM136" s="164">
        <f>SUMIF($E$6:$E$128,"310",$CM$6:$CM$128)</f>
        <v>0</v>
      </c>
      <c r="CN136" s="164">
        <f>SUMIF($E$6:$E$128,"310",$CN$6:$CN$128)</f>
        <v>0</v>
      </c>
      <c r="CO136" s="164">
        <f>SUMIF($E$6:$E$128,"310",$CO$6:$CO$128)</f>
        <v>0</v>
      </c>
      <c r="CP136" s="164">
        <f>SUMIF($E$6:$E$128,"310",$CP$6:$CP$128)</f>
        <v>0</v>
      </c>
      <c r="CQ136" s="164">
        <f>SUMIF($E$6:$E$128,"310",$CQ$6:$CQ$128)</f>
        <v>0</v>
      </c>
      <c r="CR136" s="164">
        <f>SUMIF($E$6:$E$128,"310",$CR$6:$CR$128)</f>
        <v>18174807</v>
      </c>
      <c r="CS136" s="164">
        <f>SUMIF($E$6:$E$128,"310",$CS$6:$CS$128)</f>
        <v>0</v>
      </c>
      <c r="CT136" s="164">
        <f>SUMIF($E$6:$E$128,"310",$CT$6:$CT$128)</f>
        <v>0</v>
      </c>
      <c r="CU136" s="164">
        <f>SUMIF($E$6:$E$128,"310",$CU$6:$CU$128)</f>
        <v>0</v>
      </c>
      <c r="CV136" s="164">
        <f>SUMIF($E$6:$E$128,"310",$CV$6:$CV$128)</f>
        <v>0</v>
      </c>
      <c r="CW136" s="164">
        <f>SUMIF($E$6:$E$128,"310",$CW$6:$CW$128)</f>
        <v>153536886</v>
      </c>
      <c r="CX136" s="164">
        <f>SUMIF($E$6:$E$128,"310",$CX$6:$CX$128)</f>
        <v>0</v>
      </c>
      <c r="CY136" s="164">
        <f>SUMIF($E$6:$E$128,"310",$CY$6:$CY$128)</f>
        <v>0</v>
      </c>
      <c r="CZ136" s="164">
        <f>SUMIF($E$6:$E$128,"310",$CZ$6:$CZ$128)</f>
        <v>0</v>
      </c>
      <c r="DA136" s="164">
        <f>SUMIF($E$6:$E$128,"310",$DA$6:$DA$128)</f>
        <v>0</v>
      </c>
      <c r="DB136" s="164">
        <f>SUMIF($E$6:$E$128,"310",$DB$6:$DB$128)</f>
        <v>0</v>
      </c>
      <c r="DC136" s="167">
        <f>SUMIF($E$6:$E$128,"310",$DC$6:$DC$128)</f>
        <v>54678678</v>
      </c>
      <c r="DD136" s="46">
        <f t="shared" ca="1" si="110"/>
        <v>0.52381105107658077</v>
      </c>
      <c r="DE136" s="49">
        <f t="shared" si="111"/>
        <v>744283629</v>
      </c>
      <c r="DF136" s="165">
        <f>SUMIF($E$6:$E$128,"310",$DF$6:$DF$128)</f>
        <v>0</v>
      </c>
      <c r="DG136" s="165">
        <f>SUMIF($E$6:$E$128,"310",$DG$6:$DG$128)</f>
        <v>176207408</v>
      </c>
      <c r="DH136" s="165">
        <f>SUMIF($E$6:$E$128,"310",$DH$6:$DH$128)</f>
        <v>0</v>
      </c>
      <c r="DI136" s="165">
        <f>SUMIF($E$6:$E$128,"310",$DI$6:$DI$128)</f>
        <v>250800341</v>
      </c>
      <c r="DJ136" s="165">
        <f>SUMIF($E$6:$E$128,"310",$DJ$6:$DJ$128)</f>
        <v>0</v>
      </c>
      <c r="DK136" s="165">
        <f>SUMIF($E$6:$E$128,"310",$DK$6:$DK$128)</f>
        <v>0</v>
      </c>
      <c r="DL136" s="165">
        <f>SUMIF($E$6:$E$128,"310",$DL$6:$DL$128)</f>
        <v>0</v>
      </c>
      <c r="DM136" s="165">
        <f>SUMIF($E$6:$E$128,"310",$DM$6:$DM$128)</f>
        <v>0</v>
      </c>
      <c r="DN136" s="165">
        <f>SUMIF($E$6:$E$128,"310",$DN$6:$DN$128)</f>
        <v>0</v>
      </c>
      <c r="DO136" s="165">
        <f>SUMIF($E$6:$E$128,"310",$DO$6:$DO$128)</f>
        <v>0</v>
      </c>
      <c r="DP136" s="168">
        <f>SUMIF($E$6:$E$128,"310",$DP$6:$DP$128)</f>
        <v>0</v>
      </c>
      <c r="DQ136" s="168">
        <f>SUMIF($E$6:$E$128,"310",$DQ$6:$DQ$128)</f>
        <v>4760384</v>
      </c>
      <c r="DR136" s="168">
        <f>SUMIF($E$6:$E$128,"310",$DR$6:$DR$128)</f>
        <v>0</v>
      </c>
      <c r="DS136" s="168">
        <f>SUMIF($E$6:$E$128,"310",$DS$6:$DS$128)</f>
        <v>0</v>
      </c>
      <c r="DT136" s="168">
        <f>SUMIF($E$6:$E$128,"310",$DT$6:$DT$128)</f>
        <v>0</v>
      </c>
      <c r="DU136" s="168">
        <f>SUMIF($E$6:$E$128,"310",$DU$6:$DU$128)</f>
        <v>0</v>
      </c>
      <c r="DV136" s="168">
        <f>SUMIF($E$6:$E$128,"310",$DV$6:$DV$128)</f>
        <v>278463114</v>
      </c>
      <c r="DW136" s="168">
        <f>SUMIF($E$6:$E$128,"310",$DW$6:$DW$128)</f>
        <v>0</v>
      </c>
      <c r="DX136" s="168">
        <f>SUMIF($E$6:$E$128,"310",$DX$6:$DX$128)</f>
        <v>0</v>
      </c>
      <c r="DY136" s="168">
        <f>SUMIF($E$6:$E$128,"310",$DY$6:$DY$128)</f>
        <v>0</v>
      </c>
      <c r="DZ136" s="168">
        <f>SUMIF($E$6:$E$128,"310",$DZ$6:$DZ$128)</f>
        <v>0</v>
      </c>
      <c r="EA136" s="168">
        <f>SUMIF($E$6:$E$128,"310",$EA$6:$EA$128)</f>
        <v>0</v>
      </c>
      <c r="EB136" s="168">
        <f>SUMIF($E$6:$E$128,"310",$EB$6:$EB$128)</f>
        <v>34052382</v>
      </c>
      <c r="ED136" s="201" t="s">
        <v>236</v>
      </c>
      <c r="EE136" s="86">
        <f t="shared" ca="1" si="112"/>
        <v>4618928674</v>
      </c>
      <c r="EF136" s="86">
        <f t="shared" si="113"/>
        <v>2143880074</v>
      </c>
      <c r="EG136" s="205">
        <f t="shared" ca="1" si="114"/>
        <v>0.46415093743878844</v>
      </c>
    </row>
    <row r="137" spans="1:137" x14ac:dyDescent="0.25">
      <c r="C137" s="171"/>
      <c r="D137" s="160" t="s">
        <v>372</v>
      </c>
      <c r="E137" s="153">
        <v>410</v>
      </c>
      <c r="F137" s="161"/>
      <c r="G137" s="162">
        <f ca="1">SUMIF($E$6:$G$129,"410",$G$6:$J$128)</f>
        <v>9209707080</v>
      </c>
      <c r="H137" s="163">
        <f ca="1">SUMIF($E$6:$H$129,"410",$H$6:$J$128)</f>
        <v>7720196000</v>
      </c>
      <c r="I137" s="163">
        <f ca="1">SUMIF($E$6:$I$129,"410",$I$6:$J$128)</f>
        <v>-1489511080</v>
      </c>
      <c r="J137" s="162">
        <f>SUMIF($E$6:$E$128,"410",$J$6:$J$128)</f>
        <v>0</v>
      </c>
      <c r="K137" s="162">
        <f>SUMIF($E$6:$E$129,"410",$K$6:$K$129)</f>
        <v>477989917</v>
      </c>
      <c r="L137" s="162">
        <f>SUMIF($E$6:$E$129,"410",$L$6:$L$129)</f>
        <v>0</v>
      </c>
      <c r="M137" s="162">
        <f>SUMIF($E$6:$E$129,"410",$M$6:$M$129)</f>
        <v>0</v>
      </c>
      <c r="N137" s="164">
        <f>SUMIF($E$6:$E$128,"410",$N$6:$N$128)</f>
        <v>0</v>
      </c>
      <c r="O137" s="161">
        <f>SUMIF($E$6:$E$128,"410",$O$6:$O$128)</f>
        <v>0</v>
      </c>
      <c r="P137" s="161">
        <f>SUMIF($E$6:$E$128,"410",$P$6:$P$128)</f>
        <v>0</v>
      </c>
      <c r="Q137" s="161">
        <f>SUMIF($E$6:$E$128,"410",$Q$6:$Q$128)</f>
        <v>3406132571</v>
      </c>
      <c r="R137" s="161">
        <f>SUMIF($E$6:$E$128,"410",$R$6:$R$128)</f>
        <v>75000000</v>
      </c>
      <c r="S137" s="161">
        <f>SUMIF($E$6:$E$128,"410",$S$6:$S$128)</f>
        <v>180000000</v>
      </c>
      <c r="T137" s="161">
        <f>SUMIF($E$6:$E$128,"410",$T$6:$T$128)</f>
        <v>30000000</v>
      </c>
      <c r="U137" s="161">
        <f>SUMIF($E$6:$E$128,"410",$U$6:$U$128)</f>
        <v>58135548</v>
      </c>
      <c r="V137" s="161">
        <f>SUMIF($E$6:$E$128,"410",$V$6:$V$128)</f>
        <v>0</v>
      </c>
      <c r="W137" s="161">
        <f>SUMIF($E$6:$E$128,"410",$W$6:$W$128)</f>
        <v>0</v>
      </c>
      <c r="X137" s="161">
        <f>SUMIF($E$6:$E$128,"410",$X$6:$X$128)</f>
        <v>104834591</v>
      </c>
      <c r="Y137" s="161">
        <f>SUMIF($E$6:$E$128,"410",$Y$6:$Y$128)</f>
        <v>2860154075</v>
      </c>
      <c r="Z137" s="161">
        <f>SUMIF($E$6:$E$128,"410",$Z$6:$Z$128)</f>
        <v>0</v>
      </c>
      <c r="AA137" s="161">
        <f>SUMIF($E$6:$E$128,"410",$AA$6:$AA$128)</f>
        <v>625000000</v>
      </c>
      <c r="AB137" s="161">
        <f>SUMIF($E$6:$E$105,"410",$AB$6:$AB$105)</f>
        <v>392155169</v>
      </c>
      <c r="AC137" s="161">
        <f>SUMIF($E$6:$E$105,"410",$AC$6:$AC$105)</f>
        <v>0</v>
      </c>
      <c r="AD137" s="161">
        <f>SUMIF($E$6:$E$128,"410",$AD$6:$AD$128)</f>
        <v>475996742</v>
      </c>
      <c r="AE137" s="161">
        <f>SUMIF($E$6:$E$128,"410",$AE$6:$AE$128)</f>
        <v>0</v>
      </c>
      <c r="AF137" s="161">
        <f>SUMIF($E$6:$E$128,"410",$AF$6:$AF$128)</f>
        <v>524308467</v>
      </c>
      <c r="AG137" s="46">
        <f t="shared" ca="1" si="105"/>
        <v>0.75414457828771686</v>
      </c>
      <c r="AH137" s="164">
        <f>SUMIF($E$6:$E$128,"410",$AH$6:$AH$128)</f>
        <v>6945450662</v>
      </c>
      <c r="AI137" s="164">
        <f>SUMIF($E$6:$E$128,"410",$AI$6:$AI$128)</f>
        <v>0</v>
      </c>
      <c r="AJ137" s="164">
        <f>SUMIF($E$6:$E$128,"410",$AJ$6:$AJ$128)</f>
        <v>404664018</v>
      </c>
      <c r="AK137" s="164">
        <f>SUMIF($E$6:$E$128,"410",$AK$6:$AK$128)</f>
        <v>0</v>
      </c>
      <c r="AL137" s="164">
        <f>SUMIF($E$6:$E$128,"410",$AL$6:$AL$128)</f>
        <v>0</v>
      </c>
      <c r="AM137" s="164">
        <f>SUMIF($E$6:$E$128,"410",$AM$6:$AM$128)</f>
        <v>0</v>
      </c>
      <c r="AN137" s="164">
        <f>SUMIF($E$6:$E$128,"410",$AN$6:$AN$128)</f>
        <v>0</v>
      </c>
      <c r="AO137" s="164">
        <f>SUMIF($E$6:$E$128,"410",$AO$6:$AO$128)</f>
        <v>0</v>
      </c>
      <c r="AP137" s="164">
        <f>SUMIF($E$6:$E$128,"410",$AP$6:$AP$128)</f>
        <v>2259474345</v>
      </c>
      <c r="AQ137" s="164">
        <f>SUMIF($E$6:$E$128,"410",$AQ$6:$AQ$128)</f>
        <v>58183470</v>
      </c>
      <c r="AR137" s="164">
        <f>SUMIF($E$6:$E$128,"410",$AR$6:$AR$128)</f>
        <v>57981429</v>
      </c>
      <c r="AS137" s="164">
        <f>SUMIF($E$6:$E$128,"410",$AS$6:$AS$128)</f>
        <v>21857364</v>
      </c>
      <c r="AT137" s="164">
        <f>SUMIF($E$6:$E$128,"410",$AT$6:$AT$128)</f>
        <v>20000000</v>
      </c>
      <c r="AU137" s="164">
        <f>SUMIF($E$6:$E$128,"410",$AU$6:$AU$128)</f>
        <v>0</v>
      </c>
      <c r="AV137" s="164">
        <f>SUMIF($E$6:$E$128,"410",$AV$6:$AV$128)</f>
        <v>0</v>
      </c>
      <c r="AW137" s="164">
        <f>SUMIF($E$6:$E$128,"410",$AW$6:$AW$128)</f>
        <v>50000000</v>
      </c>
      <c r="AX137" s="164">
        <f>SUMIF($E$6:$E$128,"410",$AX$6:$AX$128)</f>
        <v>2416797262</v>
      </c>
      <c r="AY137" s="164">
        <f>SUMIF($E$6:$E$128,"410",$AY$6:$AY$128)</f>
        <v>0</v>
      </c>
      <c r="AZ137" s="164">
        <f>SUMIF($E$6:$E$128,"410",$AZ$6:$AZ$128)</f>
        <v>426410072</v>
      </c>
      <c r="BA137" s="164">
        <f>SUMIF($E$6:$E$128,"410",$BA$6:$BA$128)</f>
        <v>357711753</v>
      </c>
      <c r="BB137" s="164">
        <f>SUMIF($E$6:$E$128,"410",$BB$6:$BB$128)</f>
        <v>0</v>
      </c>
      <c r="BC137" s="164">
        <f>SUMIF($E$6:$E$128,"410",$BC$6:$BC$128)</f>
        <v>467767409</v>
      </c>
      <c r="BD137" s="164">
        <f>SUMIF($E$6:$E$128,"410",$BD$6:$BD$128)</f>
        <v>0</v>
      </c>
      <c r="BE137" s="164">
        <f>SUMIF($E$6:$E$128,"410",$BE$6:$BE$128)</f>
        <v>404603540</v>
      </c>
      <c r="BF137" s="146">
        <f t="shared" ca="1" si="106"/>
        <v>0.24585542171228314</v>
      </c>
      <c r="BG137" s="49">
        <f t="shared" si="107"/>
        <v>2264256418</v>
      </c>
      <c r="BH137" s="165">
        <f>SUMIF($E$6:$E$128,"410",$BH$6:$BH$128)</f>
        <v>0</v>
      </c>
      <c r="BI137" s="165">
        <f>SUMIF($E$6:$E$128,"410",$BI$6:$BI$128)</f>
        <v>73325899</v>
      </c>
      <c r="BJ137" s="165">
        <f>SUMIF($E$6:$E$128,"410",$BJ$6:$BJ$128)</f>
        <v>0</v>
      </c>
      <c r="BK137" s="165">
        <f>SUMIF($E$6:$E$128,"410",$BK$6:$BK$128)</f>
        <v>0</v>
      </c>
      <c r="BL137" s="165">
        <f>SUMIF($E$6:$E$128,"410",$BL$6:$BL$128)</f>
        <v>0</v>
      </c>
      <c r="BM137" s="165">
        <f>SUMIF($E$6:$E$128,"410",$BM$6:$BM$128)</f>
        <v>0</v>
      </c>
      <c r="BN137" s="165">
        <f>SUMIF($E$6:$E$128,"410",$BN$6:$BN$128)</f>
        <v>0</v>
      </c>
      <c r="BO137" s="165">
        <f>SUMIF($E$6:$E$128,"410",$BO$6:$BO$128)</f>
        <v>1146658226</v>
      </c>
      <c r="BP137" s="165">
        <f>SUMIF($E$6:$E$128,"410",$BP$6:$BP$128)</f>
        <v>16816530</v>
      </c>
      <c r="BQ137" s="165">
        <f>SUMIF($E$6:$E$128,"410",$BQ$6:$BQ$128)</f>
        <v>122018571</v>
      </c>
      <c r="BR137" s="165">
        <f>SUMIF($E$6:$E$128,"410",$BR$6:$BR$128)</f>
        <v>8142636</v>
      </c>
      <c r="BS137" s="165">
        <f>SUMIF($E$6:$E$128,"410",$BS$6:$BS$128)</f>
        <v>38135548</v>
      </c>
      <c r="BT137" s="165">
        <f>SUMIF($E$6:$E$128,"410",$BT$6:$BT$128)</f>
        <v>0</v>
      </c>
      <c r="BU137" s="165">
        <f>SUMIF($E$6:$E$128,"410",$BU$6:$BU$128)</f>
        <v>0</v>
      </c>
      <c r="BV137" s="165">
        <f>SUMIF($E$6:$E$128,"410",$BV$6:$BV$128)</f>
        <v>54834591</v>
      </c>
      <c r="BW137" s="165">
        <f>SUMIF($E$6:$E$128,"410",$BW$6:$BW$128)</f>
        <v>443356813</v>
      </c>
      <c r="BX137" s="165">
        <f>SUMIF($E$6:$E$128,"410",$BX$6:$BX$128)</f>
        <v>0</v>
      </c>
      <c r="BY137" s="165">
        <f>SUMIF($E$6:$E$128,"410",$BY$6:$BY$128)</f>
        <v>198589928</v>
      </c>
      <c r="BZ137" s="165">
        <f>SUMIF($E$6:$E$128,"410",$BZ$6:$BZ$128)</f>
        <v>34443416</v>
      </c>
      <c r="CA137" s="165">
        <f>SUMIF($E$6:$E$128,"410",$CA$6:$CA$128)</f>
        <v>0</v>
      </c>
      <c r="CB137" s="165">
        <f>SUMIF($E$6:$E$128,"410",$CB$6:$CB$128)</f>
        <v>8229333</v>
      </c>
      <c r="CC137" s="165">
        <f>SUMIF($E$6:$E$128,"410",$CC$6:$CC$128)</f>
        <v>0</v>
      </c>
      <c r="CD137" s="166">
        <f>SUMIF($E$6:$E$128,"410",$CD$6:$CD$128)</f>
        <v>119704927</v>
      </c>
      <c r="CE137" s="46">
        <f t="shared" ca="1" si="108"/>
        <v>0.55659352827104247</v>
      </c>
      <c r="CF137" s="49">
        <f t="shared" si="109"/>
        <v>5126063358</v>
      </c>
      <c r="CG137" s="164">
        <f>SUMIF($E$6:$E$128,"410",$CG$6:$CG$128)</f>
        <v>0</v>
      </c>
      <c r="CH137" s="164">
        <f>SUMIF($E$6:$E$128,"410",$CH$6:$CH$128)</f>
        <v>363019581</v>
      </c>
      <c r="CI137" s="164">
        <f>SUMIF($E$6:$E$128,"410",$CI$6:$CI$128)</f>
        <v>0</v>
      </c>
      <c r="CJ137" s="164">
        <f>SUMIF($E$6:$E$128,"410",$CJ$6:$CJ$128)</f>
        <v>0</v>
      </c>
      <c r="CK137" s="164">
        <f>SUMIF($E$6:$E$128,"410",$CK$6:$CK$128)</f>
        <v>0</v>
      </c>
      <c r="CL137" s="164">
        <f>SUMIF($E$6:$E$128,"410",$CL$6:$CL$128)</f>
        <v>0</v>
      </c>
      <c r="CM137" s="164">
        <f>SUMIF($E$6:$E$128,"410",$CM$6:$CM$128)</f>
        <v>0</v>
      </c>
      <c r="CN137" s="164">
        <f>SUMIF($E$6:$E$128,"410",$CN$6:$CN$128)</f>
        <v>1680122209</v>
      </c>
      <c r="CO137" s="164">
        <f>SUMIF($E$6:$E$128,"410",$CO$6:$CO$128)</f>
        <v>20074931</v>
      </c>
      <c r="CP137" s="164">
        <f>SUMIF($E$6:$E$128,"410",$CP$6:$CP$128)</f>
        <v>21592891</v>
      </c>
      <c r="CQ137" s="164">
        <f>SUMIF($E$6:$E$128,"410",$CQ$6:$CQ$128)</f>
        <v>12174526</v>
      </c>
      <c r="CR137" s="164">
        <f>SUMIF($E$6:$E$128,"410",$CR$6:$CR$128)</f>
        <v>0</v>
      </c>
      <c r="CS137" s="164">
        <f>SUMIF($E$6:$E$128,"410",$CS$6:$CS$128)</f>
        <v>0</v>
      </c>
      <c r="CT137" s="164">
        <f>SUMIF($E$6:$E$128,"410",$CT$6:$CT$128)</f>
        <v>0</v>
      </c>
      <c r="CU137" s="164">
        <f>SUMIF($E$6:$E$128,"410",$CU$6:$CU$128)</f>
        <v>7513999</v>
      </c>
      <c r="CV137" s="164">
        <f>SUMIF($E$6:$E$128,"410",$CV$6:$CV$128)</f>
        <v>1982267495</v>
      </c>
      <c r="CW137" s="164">
        <f>SUMIF($E$6:$E$128,"410",$CW$6:$CW$128)</f>
        <v>0</v>
      </c>
      <c r="CX137" s="164">
        <f>SUMIF($E$6:$E$128,"410",$CX$6:$CX$128)</f>
        <v>347973367</v>
      </c>
      <c r="CY137" s="164">
        <f>SUMIF($E$6:$E$128,"410",$CY$6:$CY$128)</f>
        <v>45416665</v>
      </c>
      <c r="CZ137" s="164">
        <f>SUMIF($E$6:$E$128,"410",$CZ$6:$CZ$128)</f>
        <v>0</v>
      </c>
      <c r="DA137" s="164">
        <f>SUMIF($E$6:$E$128,"410",$DA$6:$DA$128)</f>
        <v>311472790</v>
      </c>
      <c r="DB137" s="164">
        <f>SUMIF($E$6:$E$128,"410",$DB$6:$DB$128)</f>
        <v>0</v>
      </c>
      <c r="DC137" s="167">
        <f>SUMIF($E$6:$E$128,"410",$DC$6:$DC$128)</f>
        <v>334434904</v>
      </c>
      <c r="DD137" s="46">
        <f t="shared" ca="1" si="110"/>
        <v>0.44340647172895753</v>
      </c>
      <c r="DE137" s="49">
        <f t="shared" si="111"/>
        <v>4083643722</v>
      </c>
      <c r="DF137" s="165">
        <f>SUMIF($E$6:$E$128,"410",$DF$6:$DF$128)</f>
        <v>0</v>
      </c>
      <c r="DG137" s="165">
        <f>SUMIF($E$6:$E$128,"410",$DG$6:$DG$128)</f>
        <v>114970336</v>
      </c>
      <c r="DH137" s="165">
        <f>SUMIF($E$6:$E$128,"410",$DH$6:$DH$128)</f>
        <v>0</v>
      </c>
      <c r="DI137" s="165">
        <f>SUMIF($E$6:$E$128,"410",$DI$6:$DI$128)</f>
        <v>0</v>
      </c>
      <c r="DJ137" s="165">
        <f>SUMIF($E$6:$E$128,"410",$DJ$6:$DJ$128)</f>
        <v>0</v>
      </c>
      <c r="DK137" s="165">
        <f>SUMIF($E$6:$E$128,"410",$DK$6:$DK$128)</f>
        <v>0</v>
      </c>
      <c r="DL137" s="165">
        <f>SUMIF($E$6:$E$128,"410",$DL$6:$DL$128)</f>
        <v>0</v>
      </c>
      <c r="DM137" s="165">
        <f>SUMIF($E$6:$E$128,"410",$DM$6:$DM$128)</f>
        <v>1726010362</v>
      </c>
      <c r="DN137" s="165">
        <f>SUMIF($E$6:$E$128,"410",$DN$6:$DN$128)</f>
        <v>54925069</v>
      </c>
      <c r="DO137" s="165">
        <f>SUMIF($E$6:$E$128,"410",$DO$6:$DO$128)</f>
        <v>158407109</v>
      </c>
      <c r="DP137" s="168">
        <f>SUMIF($E$6:$E$128,"410",$DP$6:$DP$128)</f>
        <v>17825474</v>
      </c>
      <c r="DQ137" s="168">
        <f>SUMIF($E$6:$E$128,"410",$DQ$6:$DQ$128)</f>
        <v>58135548</v>
      </c>
      <c r="DR137" s="168">
        <f>SUMIF($E$6:$E$128,"410",$DR$6:$DR$128)</f>
        <v>0</v>
      </c>
      <c r="DS137" s="168">
        <f>SUMIF($E$6:$E$128,"410",$DS$6:$DS$128)</f>
        <v>0</v>
      </c>
      <c r="DT137" s="168">
        <f>SUMIF($E$6:$E$128,"410",$DT$6:$DT$128)</f>
        <v>97320592</v>
      </c>
      <c r="DU137" s="168">
        <f>SUMIF($E$6:$E$128,"410",$DU$6:$DU$128)</f>
        <v>877886580</v>
      </c>
      <c r="DV137" s="168">
        <f>SUMIF($E$6:$E$128,"410",$DV$6:$DV$128)</f>
        <v>0</v>
      </c>
      <c r="DW137" s="168">
        <f>SUMIF($E$6:$E$128,"410",$DW$6:$DW$128)</f>
        <v>277026633</v>
      </c>
      <c r="DX137" s="168">
        <f>SUMIF($E$6:$E$128,"410",$DX$6:$DX$128)</f>
        <v>346738504</v>
      </c>
      <c r="DY137" s="168">
        <f>SUMIF($E$6:$E$128,"410",$DY$6:$DY$128)</f>
        <v>0</v>
      </c>
      <c r="DZ137" s="168">
        <f>SUMIF($E$6:$E$128,"410",$DZ$6:$DZ$128)</f>
        <v>164523952</v>
      </c>
      <c r="EA137" s="168">
        <f>SUMIF($E$6:$E$128,"410",$EA$6:$EA$128)</f>
        <v>0</v>
      </c>
      <c r="EB137" s="168">
        <f>SUMIF($E$6:$E$128,"410",$EB$6:$EB$128)</f>
        <v>189873563</v>
      </c>
      <c r="ED137" s="201" t="s">
        <v>393</v>
      </c>
      <c r="EE137" s="86">
        <f t="shared" ca="1" si="112"/>
        <v>1420900967</v>
      </c>
      <c r="EF137" s="86">
        <f t="shared" si="113"/>
        <v>676617338</v>
      </c>
      <c r="EG137" s="205">
        <f t="shared" ca="1" si="114"/>
        <v>0.47618894892341923</v>
      </c>
    </row>
    <row r="138" spans="1:137" ht="14.25" customHeight="1" x14ac:dyDescent="0.25">
      <c r="C138" s="171"/>
      <c r="D138" s="172" t="s">
        <v>373</v>
      </c>
      <c r="E138" s="153">
        <v>510</v>
      </c>
      <c r="F138" s="161"/>
      <c r="G138" s="162">
        <f ca="1">SUMIF($E$6:$G$129,"510",$G$6:$J$128)</f>
        <v>2334820216</v>
      </c>
      <c r="H138" s="163">
        <f ca="1">SUMIF($E$6:$H$129,"510",$H$6:$J$128)</f>
        <v>2219600000</v>
      </c>
      <c r="I138" s="163">
        <f ca="1">SUMIF($E$6:$I$129,"510",$I$6:$J$128)</f>
        <v>-115220216</v>
      </c>
      <c r="J138" s="162">
        <f>SUMIF($E$6:$E$128,"510",$J$6:$J$128)</f>
        <v>0</v>
      </c>
      <c r="K138" s="162">
        <f>SUMIF($E$6:$E$129,"510",$K$6:$K$129)</f>
        <v>655468218</v>
      </c>
      <c r="L138" s="162">
        <f>SUMIF($E$6:$E$129,"510",$L$6:$L$129)</f>
        <v>0</v>
      </c>
      <c r="M138" s="162">
        <f>SUMIF($E$6:$E$129,"510",$M$6:$M$129)</f>
        <v>114000000</v>
      </c>
      <c r="N138" s="164">
        <f>SUMIF($E$6:$E$128,"510",$N$6:$N$128)</f>
        <v>0</v>
      </c>
      <c r="O138" s="161">
        <f>SUMIF($E$6:$E$128,"510",$O$6:$O$128)</f>
        <v>0</v>
      </c>
      <c r="P138" s="161">
        <f>SUMIF($E$6:$E$128,"510",$P$6:$P$128)</f>
        <v>0</v>
      </c>
      <c r="Q138" s="161">
        <f>SUMIF($E$6:$E$128,"510",$Q$6:$Q$128)</f>
        <v>0</v>
      </c>
      <c r="R138" s="161">
        <f>SUMIF($E$6:$E$128,"510",$R$6:$R$128)</f>
        <v>0</v>
      </c>
      <c r="S138" s="161">
        <f>SUMIF($E$6:$E$128,"510",$S$6:$S$128)</f>
        <v>0</v>
      </c>
      <c r="T138" s="161">
        <f>SUMIF($E$6:$E$128,"510",$T$6:$T$128)</f>
        <v>0</v>
      </c>
      <c r="U138" s="161">
        <f>SUMIF($E$6:$E$128,"510",$U$6:$U$128)</f>
        <v>8336885</v>
      </c>
      <c r="V138" s="161">
        <f>SUMIF($E$6:$E$128,"510",$V$6:$V$128)</f>
        <v>0</v>
      </c>
      <c r="W138" s="161">
        <f>SUMIF($E$6:$E$128,"510",$W$6:$W$128)</f>
        <v>0</v>
      </c>
      <c r="X138" s="161">
        <f>SUMIF($E$6:$E$128,"510",$X$6:$X$128)</f>
        <v>0</v>
      </c>
      <c r="Y138" s="161">
        <f>SUMIF($E$6:$E$128,"510",$Y$6:$Y$128)</f>
        <v>0</v>
      </c>
      <c r="Z138" s="161">
        <f>SUMIF($E$6:$E$128,"510",$Z$6:$Z$128)</f>
        <v>320000000</v>
      </c>
      <c r="AA138" s="161">
        <f>SUMIF($E$6:$E$128,"510",$AA$6:$AA$128)</f>
        <v>358636130</v>
      </c>
      <c r="AB138" s="161">
        <f>SUMIF($E$6:$E$128,"510",$AB$6:$AB$128)</f>
        <v>217168075</v>
      </c>
      <c r="AC138" s="161">
        <f>SUMIF($E$6:$E$128,"510",$AC$6:$AC$128)</f>
        <v>0</v>
      </c>
      <c r="AD138" s="161"/>
      <c r="AE138" s="161">
        <f>SUMIF($E$6:$E$128,"510",$AE$6:$AE$128)</f>
        <v>422607964</v>
      </c>
      <c r="AF138" s="161">
        <f>SUMIF($E$6:$E$128,"510",$AF$6:$AF$128)</f>
        <v>238602944</v>
      </c>
      <c r="AG138" s="46">
        <f t="shared" ca="1" si="105"/>
        <v>0.91518318085352746</v>
      </c>
      <c r="AH138" s="164">
        <f>SUMIF($E$6:$E$128,"510",$AH$6:$AH$128)</f>
        <v>2136788192</v>
      </c>
      <c r="AI138" s="164">
        <f>SUMIF($E$6:$E$128,"510",$AI$6:$AI$128)</f>
        <v>0</v>
      </c>
      <c r="AJ138" s="164">
        <f>SUMIF($E$6:$E$128,"510",$AJ$6:$AJ$128)</f>
        <v>585950310</v>
      </c>
      <c r="AK138" s="164">
        <f>SUMIF($E$6:$E$128,"510",$AK$6:$AK$128)</f>
        <v>0</v>
      </c>
      <c r="AL138" s="164">
        <f>SUMIF($E$6:$E$128,"510",$AL$6:$AL$128)</f>
        <v>114000000</v>
      </c>
      <c r="AM138" s="164">
        <f>SUMIF($E$6:$E$128,"510",$AM$6:$AM$128)</f>
        <v>0</v>
      </c>
      <c r="AN138" s="164">
        <f>SUMIF($E$6:$E$128,"510",$AN$6:$AN$128)</f>
        <v>0</v>
      </c>
      <c r="AO138" s="164">
        <f>SUMIF($E$6:$E$128,"510",$AO$6:$AO$128)</f>
        <v>0</v>
      </c>
      <c r="AP138" s="164">
        <f>SUMIF($E$6:$E$128,"510",$AP$6:$AP$128)</f>
        <v>0</v>
      </c>
      <c r="AQ138" s="164">
        <f>SUMIF($E$6:$E$128,"510",$AQ$6:$AQ$128)</f>
        <v>0</v>
      </c>
      <c r="AR138" s="164">
        <f>SUMIF($E$6:$E$128,"510",$AR$6:$AR$128)</f>
        <v>0</v>
      </c>
      <c r="AS138" s="164">
        <f>SUMIF($E$6:$E$128,"510",$AS$6:$AS$128)</f>
        <v>0</v>
      </c>
      <c r="AT138" s="164">
        <f>SUMIF($E$6:$E$128,"510",$AT$6:$AT$128)</f>
        <v>5819242</v>
      </c>
      <c r="AU138" s="164">
        <f>SUMIF($E$6:$E$128,"510",$AU$6:$AU$128)</f>
        <v>0</v>
      </c>
      <c r="AV138" s="164">
        <f>SUMIF($E$6:$E$128,"510",$AV$6:$AV$128)</f>
        <v>0</v>
      </c>
      <c r="AW138" s="164">
        <f>SUMIF($E$6:$E$128,"510",$AW$6:$AW$128)</f>
        <v>0</v>
      </c>
      <c r="AX138" s="164">
        <f>SUMIF($E$6:$E$128,"510",$AX$6:$AX$128)</f>
        <v>0</v>
      </c>
      <c r="AY138" s="164">
        <f>SUMIF($E$6:$E$128,"510",$AY$6:$AY$128)</f>
        <v>265000000</v>
      </c>
      <c r="AZ138" s="164">
        <f>SUMIF($E$6:$E$128,"510",$AZ$6:$AZ$128)</f>
        <v>340841000</v>
      </c>
      <c r="BA138" s="164">
        <f>SUMIF($E$6:$E$128,"510",$BA$6:$BA$128)</f>
        <v>213168075</v>
      </c>
      <c r="BB138" s="164">
        <f>SUMIF($E$6:$E$128,"510",$BB$6:$BB$128)</f>
        <v>0</v>
      </c>
      <c r="BC138" s="164">
        <f>SUMIF($E$6:$E$128," 510",$BC$6:$BC$128)</f>
        <v>0</v>
      </c>
      <c r="BD138" s="164">
        <f>SUMIF($E$6:$E$128,"510",$BD$6:$BD$128)</f>
        <v>422607964</v>
      </c>
      <c r="BE138" s="164">
        <f>SUMIF($E$6:$E$128,"510",$BE$6:$BE$128)</f>
        <v>189401601</v>
      </c>
      <c r="BF138" s="146">
        <f t="shared" ca="1" si="106"/>
        <v>8.4816819146472544E-2</v>
      </c>
      <c r="BG138" s="49">
        <f t="shared" si="107"/>
        <v>198032024</v>
      </c>
      <c r="BH138" s="165">
        <f>SUMIF($E$6:$E$128,"510",$BH$6:$BH$128)</f>
        <v>0</v>
      </c>
      <c r="BI138" s="165">
        <f>SUMIF($E$6:$E$128,"510",$BI$6:$BI$128)</f>
        <v>69517908</v>
      </c>
      <c r="BJ138" s="165">
        <f>SUMIF($E$6:$E$128,"510",$BJ$6:$BJ$128)</f>
        <v>0</v>
      </c>
      <c r="BK138" s="165">
        <f>SUMIF($E$6:$E$128,"510",$BK$6:$BK$128)</f>
        <v>0</v>
      </c>
      <c r="BL138" s="165">
        <f>SUMIF($E$6:$E$128,"510",$BL$6:$BL$128)</f>
        <v>0</v>
      </c>
      <c r="BM138" s="165">
        <f>SUMIF($E$6:$E$128,"510",$BM$6:$BM$128)</f>
        <v>0</v>
      </c>
      <c r="BN138" s="165">
        <f>SUMIF($E$6:$E$128,"510",$BN$6:$BN$128)</f>
        <v>0</v>
      </c>
      <c r="BO138" s="165">
        <f>SUMIF($E$6:$E$128,"510",$BO$6:$BO$128)</f>
        <v>0</v>
      </c>
      <c r="BP138" s="165">
        <f>SUMIF($E$6:$E$128,"510",$BP$6:$BP$128)</f>
        <v>0</v>
      </c>
      <c r="BQ138" s="165">
        <f>SUMIF($E$6:$E$128,"510",$BQ$6:$BQ$128)</f>
        <v>0</v>
      </c>
      <c r="BR138" s="165">
        <f>SUMIF($E$6:$E$128,"510",$BR$6:$BR$128)</f>
        <v>0</v>
      </c>
      <c r="BS138" s="165">
        <f>SUMIF($E$6:$E$128,"510",$BS$6:$BS$128)</f>
        <v>2517643</v>
      </c>
      <c r="BT138" s="165">
        <f>SUMIF($E$6:$E$128,"510",$BT$6:$BT$128)</f>
        <v>0</v>
      </c>
      <c r="BU138" s="165">
        <f>SUMIF($E$6:$E$128,"510",$BU$6:$BU$128)</f>
        <v>0</v>
      </c>
      <c r="BV138" s="165">
        <f>SUMIF($E$6:$E$128,"510",$BV$6:$BV$128)</f>
        <v>0</v>
      </c>
      <c r="BW138" s="165">
        <f>SUMIF($E$6:$E$128,"510",$BW$6:$BW$128)</f>
        <v>0</v>
      </c>
      <c r="BX138" s="165">
        <f>SUMIF($E$6:$E$128,"510",$BX$6:$BX$128)</f>
        <v>55000000</v>
      </c>
      <c r="BY138" s="165">
        <f>SUMIF($E$6:$E$128,"510",$BY$6:$BY$128)</f>
        <v>17795130</v>
      </c>
      <c r="BZ138" s="165">
        <f>SUMIF($E$6:$E$128,"510",$BZ$6:$BZ$128)</f>
        <v>4000000</v>
      </c>
      <c r="CA138" s="165">
        <f>SUMIF($E$6:$E$128,"510",$CA$6:$CA$128)</f>
        <v>0</v>
      </c>
      <c r="CB138" s="165">
        <f>SUMIF($E$6:$E$128,"510",$CB$6:$CB$128)</f>
        <v>0</v>
      </c>
      <c r="CC138" s="165">
        <f>SUMIF($E$6:$E$128,"510",$CC$6:$CC$128)</f>
        <v>0</v>
      </c>
      <c r="CD138" s="166">
        <f>SUMIF($E$6:$E$128,"510",$CD$6:$CD$128)</f>
        <v>49201343</v>
      </c>
      <c r="CE138" s="46">
        <f t="shared" ca="1" si="108"/>
        <v>0.65305664930905327</v>
      </c>
      <c r="CF138" s="49">
        <f t="shared" si="109"/>
        <v>1524769867</v>
      </c>
      <c r="CG138" s="164">
        <f>SUMIF($E$6:$E$128,"510",$CG$6:$CG$128)</f>
        <v>0</v>
      </c>
      <c r="CH138" s="164">
        <f>SUMIF($E$6:$E$128,"510",$CH$6:$CH$128)</f>
        <v>577552962</v>
      </c>
      <c r="CI138" s="164">
        <f>SUMIF($E$6:$E$128,"510",$CI$6:$CI$128)</f>
        <v>0</v>
      </c>
      <c r="CJ138" s="164">
        <f>SUMIF($E$6:$E$128,"510",$CJ$6:$CJ$128)</f>
        <v>0</v>
      </c>
      <c r="CK138" s="164">
        <f>SUMIF($E$6:$E$128,"510",$CK$6:$CK$128)</f>
        <v>0</v>
      </c>
      <c r="CL138" s="164">
        <f>SUMIF($E$6:$E$128,"510",$CL$6:$CL$128)</f>
        <v>0</v>
      </c>
      <c r="CM138" s="164">
        <f>SUMIF($E$6:$E$128,"510",$CM$6:$CM$128)</f>
        <v>0</v>
      </c>
      <c r="CN138" s="164">
        <f>SUMIF($E$6:$E$128,"510",$CN$6:$CN$128)</f>
        <v>0</v>
      </c>
      <c r="CO138" s="164">
        <f>SUMIF($E$6:$E$128,"510",$CO$6:$CO$128)</f>
        <v>0</v>
      </c>
      <c r="CP138" s="164">
        <f>SUMIF($E$6:$E$128,"510",$CP$6:$CP$128)</f>
        <v>0</v>
      </c>
      <c r="CQ138" s="164">
        <f>SUMIF($E$6:$E$128,"510",$CQ$6:$CQ$128)</f>
        <v>0</v>
      </c>
      <c r="CR138" s="164">
        <f>SUMIF($E$6:$E$128,"510",$CR$6:$CR$128)</f>
        <v>5819242</v>
      </c>
      <c r="CS138" s="164">
        <f>SUMIF($E$6:$E$128,"510",$CS$6:$CS$128)</f>
        <v>0</v>
      </c>
      <c r="CT138" s="164">
        <f>SUMIF($E$6:$E$128,"510",$CT$6:$CT$128)</f>
        <v>0</v>
      </c>
      <c r="CU138" s="164">
        <f>SUMIF($E$6:$E$128,"510",$CU$6:$CU$128)</f>
        <v>0</v>
      </c>
      <c r="CV138" s="164">
        <f>SUMIF($E$6:$E$128,"510",$CV$6:$CV$128)</f>
        <v>0</v>
      </c>
      <c r="CW138" s="164">
        <f>SUMIF($E$6:$E$128,"510",$CW$6:$CW$128)</f>
        <v>253002170</v>
      </c>
      <c r="CX138" s="164">
        <f>SUMIF($E$6:$E$128,"510",$CX$6:$CX$128)</f>
        <v>309847785</v>
      </c>
      <c r="CY138" s="164">
        <f>SUMIF($E$6:$E$128,"510",$CY$6:$CY$128)</f>
        <v>195547662</v>
      </c>
      <c r="CZ138" s="164">
        <f>SUMIF($E$6:$E$128,"510",$CZ$6:$CZ$128)</f>
        <v>0</v>
      </c>
      <c r="DA138" s="164">
        <f>SUMIF($E$6:$E$128,"510",$DA$6:$DA$128)</f>
        <v>0</v>
      </c>
      <c r="DB138" s="164">
        <f>SUMIF($E$6:$E$128,"510",$DB$6:$DB$128)</f>
        <v>0</v>
      </c>
      <c r="DC138" s="167">
        <f>SUMIF($E$6:$E$128,"510",$DC$6:$DC$128)</f>
        <v>183000046</v>
      </c>
      <c r="DD138" s="46">
        <f t="shared" ca="1" si="110"/>
        <v>0.34694335069094673</v>
      </c>
      <c r="DE138" s="49">
        <f t="shared" si="111"/>
        <v>810050349</v>
      </c>
      <c r="DF138" s="165">
        <f>SUMIF($E$6:$E$128,"510",$DF$6:$DF$128)</f>
        <v>0</v>
      </c>
      <c r="DG138" s="165">
        <f>SUMIF($E$6:$E$128,"510",$DG$6:$DG$128)</f>
        <v>77915256</v>
      </c>
      <c r="DH138" s="165">
        <f>SUMIF($E$6:$E$128,"510",$DH$6:$DH$128)</f>
        <v>0</v>
      </c>
      <c r="DI138" s="165">
        <f>SUMIF($E$6:$E$128,"510",$DI$6:$DI$128)</f>
        <v>114000000</v>
      </c>
      <c r="DJ138" s="165">
        <f>SUMIF($E$6:$E$128,"510",$DJ$6:$DJ$128)</f>
        <v>0</v>
      </c>
      <c r="DK138" s="165">
        <f>SUMIF($E$6:$E$128,"510",$DK$6:$DK$128)</f>
        <v>0</v>
      </c>
      <c r="DL138" s="165">
        <f>SUMIF($E$6:$E$128,"510",$DL$6:$DL$128)</f>
        <v>0</v>
      </c>
      <c r="DM138" s="165">
        <f>SUMIF($E$6:$E$128,"510",$DM$6:$DM$128)</f>
        <v>0</v>
      </c>
      <c r="DN138" s="165">
        <f>SUMIF($E$6:$E$128,"510",$DN$6:$DN$128)</f>
        <v>0</v>
      </c>
      <c r="DO138" s="165">
        <f>SUMIF($E$6:$E$128,"510",$DO$6:$DO$128)</f>
        <v>0</v>
      </c>
      <c r="DP138" s="168">
        <f>SUMIF($E$6:$E$128,"510",$DP$6:$DP$128)</f>
        <v>0</v>
      </c>
      <c r="DQ138" s="168">
        <f>SUMIF($E$6:$E$128,"510",$DQ$6:$DQ$128)</f>
        <v>2517643</v>
      </c>
      <c r="DR138" s="168">
        <f>SUMIF($E$6:$E$128,"510",$DR$6:$DR$128)</f>
        <v>0</v>
      </c>
      <c r="DS138" s="168">
        <f>SUMIF($E$6:$E$128,"510",$DS$6:$DS$128)</f>
        <v>0</v>
      </c>
      <c r="DT138" s="168">
        <f>SUMIF($E$6:$E$128,"510",$DT$6:$DT$128)</f>
        <v>0</v>
      </c>
      <c r="DU138" s="168">
        <f>SUMIF($E$6:$E$128,"510",$DU$6:$DU$128)</f>
        <v>0</v>
      </c>
      <c r="DV138" s="168">
        <f>SUMIF($E$6:$E$128,"510",$DV$6:$DV$128)</f>
        <v>66997830</v>
      </c>
      <c r="DW138" s="168">
        <f>SUMIF($E$6:$E$128,"510",$DW$6:$DW$128)</f>
        <v>48788345</v>
      </c>
      <c r="DX138" s="168">
        <f>SUMIF($E$6:$E$128,"510",$DX$6:$DX$128)</f>
        <v>21620413</v>
      </c>
      <c r="DY138" s="168">
        <f>SUMIF($E$6:$E$128,"510",$DY$6:$DY$128)</f>
        <v>0</v>
      </c>
      <c r="DZ138" s="168">
        <f>SUMIF($E$6:$E$128,"510",$DZ$6:$DZ$128)</f>
        <v>0</v>
      </c>
      <c r="EA138" s="168">
        <f>SUMIF($E$6:$E$128,"510",$EA$6:$EA$128)</f>
        <v>422607964</v>
      </c>
      <c r="EB138" s="168">
        <f>SUMIF($E$6:$E$128,"510",$EB$6:$EB$128)</f>
        <v>55602898</v>
      </c>
      <c r="ED138" s="201" t="s">
        <v>394</v>
      </c>
      <c r="EE138" s="86">
        <f t="shared" ca="1" si="112"/>
        <v>9209707080</v>
      </c>
      <c r="EF138" s="86">
        <f t="shared" si="113"/>
        <v>5126063358</v>
      </c>
      <c r="EG138" s="205">
        <f t="shared" ca="1" si="114"/>
        <v>0.55659352827104247</v>
      </c>
    </row>
    <row r="139" spans="1:137" x14ac:dyDescent="0.25">
      <c r="C139" s="171"/>
      <c r="D139" s="160" t="s">
        <v>374</v>
      </c>
      <c r="E139" s="153">
        <v>520</v>
      </c>
      <c r="F139" s="161"/>
      <c r="G139" s="162">
        <f ca="1">SUMIF($E$6:$G$129,"520",$G$6:$J$128)</f>
        <v>4269690683</v>
      </c>
      <c r="H139" s="163">
        <f ca="1">SUMIF($E$6:$H$129,"520",$H$6:$J$128)</f>
        <v>6393503250</v>
      </c>
      <c r="I139" s="163">
        <f ca="1">SUMIF($E$6:$I$129,"520",$I$6:$J$128)</f>
        <v>2123812567</v>
      </c>
      <c r="J139" s="162">
        <f>SUMIF($E$6:$E$128,"520",$J$6:$J$128)</f>
        <v>0</v>
      </c>
      <c r="K139" s="162">
        <f>SUMIF($E$6:$E$128,"520",$K$6:$K$128)</f>
        <v>1085174278</v>
      </c>
      <c r="L139" s="162">
        <f>SUMIF($E$6:$E$129,"520",$L$6:$L$129)</f>
        <v>0</v>
      </c>
      <c r="M139" s="162">
        <f>SUMIF($E$6:$E$129,"520",$M$6:$M$129)</f>
        <v>0</v>
      </c>
      <c r="N139" s="164">
        <f>SUMIF($E$6:$E$128,"520",$N$6:$N$128)</f>
        <v>0</v>
      </c>
      <c r="O139" s="161">
        <f>SUMIF($E$6:$E$128,"520",$O$6:$O$128)</f>
        <v>167645552</v>
      </c>
      <c r="P139" s="161">
        <f>SUMIF($E$6:$E$128,"520",$P$6:$P$128)</f>
        <v>0</v>
      </c>
      <c r="Q139" s="161">
        <f>SUMIF($E$6:$E$128,"520",$Q$6:$Q$128)</f>
        <v>0</v>
      </c>
      <c r="R139" s="161">
        <f>SUMIF($E$6:$E$128,"520",$R$6:$R$128)</f>
        <v>0</v>
      </c>
      <c r="S139" s="161">
        <f>SUMIF($E$6:$E$128,"520",$S$6:$S$128)</f>
        <v>0</v>
      </c>
      <c r="T139" s="161">
        <f>SUMIF($E$6:$E$128,"520",$T$6:$T$128)</f>
        <v>0</v>
      </c>
      <c r="U139" s="161">
        <f>SUMIF($E$6:$E$128,"520",$U$6:$U$128)</f>
        <v>0</v>
      </c>
      <c r="V139" s="161">
        <f>SUMIF($E$6:$E$128,"520",$V$6:$V$128)</f>
        <v>0</v>
      </c>
      <c r="W139" s="161">
        <f>SUMIF($E$6:$E$128,"520",$W$6:$W$128)</f>
        <v>0</v>
      </c>
      <c r="X139" s="161">
        <f>SUMIF($E$6:$E$128,"520",$X$6:$X$128)</f>
        <v>0</v>
      </c>
      <c r="Y139" s="161">
        <f>SUMIF($E$6:$E$128,"520",$Y$6:$Y$128)</f>
        <v>1374625000</v>
      </c>
      <c r="Z139" s="161">
        <f>SUMIF($E$6:$E$128,"520",$Z$6:$Z$128)</f>
        <v>0</v>
      </c>
      <c r="AA139" s="161">
        <f>SUMIF($E$6:$E$128,"520",$AA$6:$AA$128)</f>
        <v>427766866</v>
      </c>
      <c r="AB139" s="161">
        <f>SUMIF($E$6:$E$128,"520",$AB$6:$AB$128)</f>
        <v>197412271</v>
      </c>
      <c r="AC139" s="161">
        <f>SUMIF($E$6:$E$105,"520",$AC$6:$AC$105)</f>
        <v>0</v>
      </c>
      <c r="AD139" s="161"/>
      <c r="AE139" s="161">
        <f>SUMIF($E$6:$E$128,"520",$AE$6:$AE$128)</f>
        <v>0</v>
      </c>
      <c r="AF139" s="161">
        <f>SUMIF($E$6:$E$128,"520",$AF$6:$AF$128)</f>
        <v>1017066716</v>
      </c>
      <c r="AG139" s="46">
        <f t="shared" ca="1" si="105"/>
        <v>0.92693796128088279</v>
      </c>
      <c r="AH139" s="164">
        <f>SUMIF($E$6:$E$128,"520",$AH$6:$AH$128)</f>
        <v>3957738377</v>
      </c>
      <c r="AI139" s="164">
        <f>SUMIF($E$6:$E$128,"520",$AI$6:$AI$128)</f>
        <v>0</v>
      </c>
      <c r="AJ139" s="164">
        <f>SUMIF($E$6:$E$128,"520",$AJ$6:$AJ$128)</f>
        <v>999215575</v>
      </c>
      <c r="AK139" s="164">
        <f>SUMIF($E$6:$E$128,"520",$AK$6:$AK$128)</f>
        <v>0</v>
      </c>
      <c r="AL139" s="164">
        <f>SUMIF($E$6:$E$128,"520",$AL$6:$AL$128)</f>
        <v>0</v>
      </c>
      <c r="AM139" s="164">
        <f>SUMIF($E$6:$E$128,"520",$AM$6:$AM$128)</f>
        <v>0</v>
      </c>
      <c r="AN139" s="164">
        <f>SUMIF($E$6:$E$128,"520",$AN$6:$AN$128)</f>
        <v>155819660</v>
      </c>
      <c r="AO139" s="164">
        <f>SUMIF($E$6:$E$128,"520",$AO$6:$AO$128)</f>
        <v>0</v>
      </c>
      <c r="AP139" s="164">
        <f>SUMIF($E$6:$E$128,"520",$AP$6:$AP$128)</f>
        <v>0</v>
      </c>
      <c r="AQ139" s="164">
        <f>SUMIF($E$6:$E$128,"520",$AQ$6:$AQ$128)</f>
        <v>0</v>
      </c>
      <c r="AR139" s="164">
        <f>SUMIF($E$6:$E$128,"520",$AR$6:$AR$128)</f>
        <v>0</v>
      </c>
      <c r="AS139" s="164">
        <f>SUMIF($E$6:$E$128,"520",$AS$6:$AS$128)</f>
        <v>0</v>
      </c>
      <c r="AT139" s="164">
        <f>SUMIF($E$6:$E$128,"520",$AT$6:$AT$128)</f>
        <v>0</v>
      </c>
      <c r="AU139" s="164">
        <f>SUMIF($E$6:$E$128,"520",$AU$6:$AU$128)</f>
        <v>0</v>
      </c>
      <c r="AV139" s="164">
        <f>SUMIF($E$6:$E$128,"520",$AV$6:$AV$128)</f>
        <v>0</v>
      </c>
      <c r="AW139" s="164">
        <f>SUMIF($E$6:$E$128,"520",$AW$6:$AW$128)</f>
        <v>0</v>
      </c>
      <c r="AX139" s="164">
        <f>SUMIF($E$6:$E$128,"520",$AX$6:$AX$128)</f>
        <v>1367983008</v>
      </c>
      <c r="AY139" s="164">
        <f>SUMIF($E$6:$E$128,"520",$AY$6:$AY$128)</f>
        <v>0</v>
      </c>
      <c r="AZ139" s="164">
        <f>SUMIF($E$6:$E$128,"520",$AZ$6:$AZ$128)</f>
        <v>338055304</v>
      </c>
      <c r="BA139" s="164">
        <f>SUMIF($E$6:$E$128,"520",$BA$6:$BA$128)</f>
        <v>197412270</v>
      </c>
      <c r="BB139" s="164">
        <f>SUMIF($E$6:$E$128,"520",$BB$6:$BB$128)</f>
        <v>0</v>
      </c>
      <c r="BC139" s="164">
        <f>SUMIF($E$6:$E$128,"520",$BC$6:$BC$128)</f>
        <v>0</v>
      </c>
      <c r="BD139" s="164">
        <f>SUMIF($E$6:$E$128,"520",$BD$6:$BD$128)</f>
        <v>0</v>
      </c>
      <c r="BE139" s="164">
        <f>SUMIF($E$6:$E$128,"520",$BE$6:$BE$128)</f>
        <v>899252560</v>
      </c>
      <c r="BF139" s="146">
        <f t="shared" ca="1" si="106"/>
        <v>7.3062038719117206E-2</v>
      </c>
      <c r="BG139" s="49">
        <f t="shared" si="107"/>
        <v>311952306</v>
      </c>
      <c r="BH139" s="165">
        <f>SUMIF($E$6:$E$128,"520",$BH$6:$BH$128)</f>
        <v>0</v>
      </c>
      <c r="BI139" s="165">
        <f>SUMIF($E$6:$E$128,"520",$BI$6:$BI$128)</f>
        <v>85958703</v>
      </c>
      <c r="BJ139" s="165">
        <f>SUMIF($E$6:$E$128,"520",$BJ$6:$BJ$128)</f>
        <v>0</v>
      </c>
      <c r="BK139" s="165">
        <f>SUMIF($E$6:$E$128,"520",$BK$6:$BK$128)</f>
        <v>0</v>
      </c>
      <c r="BL139" s="165">
        <f>SUMIF($E$6:$E$128,"520",$BL$6:$BL$128)</f>
        <v>0</v>
      </c>
      <c r="BM139" s="165">
        <f>SUMIF($E$6:$E$128,"520",$BM$6:$BM$128)</f>
        <v>11825892</v>
      </c>
      <c r="BN139" s="165">
        <f>SUMIF($E$6:$E$128,"520",$BN$6:$BN$128)</f>
        <v>0</v>
      </c>
      <c r="BO139" s="165">
        <f>SUMIF($E$6:$E$128,"520",$BO$6:$BO$128)</f>
        <v>0</v>
      </c>
      <c r="BP139" s="165">
        <f>SUMIF($E$6:$E$128,"520",$BP$6:$BP$128)</f>
        <v>0</v>
      </c>
      <c r="BQ139" s="165">
        <f>SUMIF($E$6:$E$128,"520",$BQ$6:$BQ$128)</f>
        <v>0</v>
      </c>
      <c r="BR139" s="165">
        <f>SUMIF($E$6:$E$128,"520",$BR$6:$BR$128)</f>
        <v>0</v>
      </c>
      <c r="BS139" s="165">
        <f>SUMIF($E$6:$E$128,"520",$BS$6:$BS$128)</f>
        <v>0</v>
      </c>
      <c r="BT139" s="165">
        <f>SUMIF($E$6:$E$128,"520",$BT$6:$BT$128)</f>
        <v>0</v>
      </c>
      <c r="BU139" s="165">
        <f>SUMIF($E$6:$E$128,"520",$BU$6:$BU$128)</f>
        <v>0</v>
      </c>
      <c r="BV139" s="165">
        <f>SUMIF($E$6:$E$128,"520",$BV$6:$BV$128)</f>
        <v>0</v>
      </c>
      <c r="BW139" s="165">
        <f>SUMIF($E$6:$E$128,"520",$BW$6:$BW$128)</f>
        <v>6641992</v>
      </c>
      <c r="BX139" s="165">
        <f>SUMIF($E$6:$E$128,"520",$BX$6:$BX$128)</f>
        <v>0</v>
      </c>
      <c r="BY139" s="165">
        <f>SUMIF($E$6:$E$128,"520",$BY$6:$BY$128)</f>
        <v>89711562</v>
      </c>
      <c r="BZ139" s="165">
        <f>SUMIF($E$6:$E$128,"520",$BZ$6:$BZ$128)</f>
        <v>1</v>
      </c>
      <c r="CA139" s="165">
        <f>SUMIF($E$6:$E$128,"520",$CA$6:$CA$128)</f>
        <v>0</v>
      </c>
      <c r="CB139" s="165">
        <f>SUMIF($E$6:$E$128,"520",$CB$6:$CB$128)</f>
        <v>0</v>
      </c>
      <c r="CC139" s="165">
        <f>SUMIF($E$6:$E$128,"520",$CC$6:$CC$128)</f>
        <v>0</v>
      </c>
      <c r="CD139" s="166">
        <f>SUMIF($E$6:$E$128,"520",$CD$6:$CD$128)</f>
        <v>117814156</v>
      </c>
      <c r="CE139" s="46">
        <f t="shared" ca="1" si="108"/>
        <v>0.80563346724290097</v>
      </c>
      <c r="CF139" s="49">
        <f t="shared" si="109"/>
        <v>3439805709</v>
      </c>
      <c r="CG139" s="164">
        <f>SUMIF($E$6:$E$128,"520",$CG$6:$CG$128)</f>
        <v>0</v>
      </c>
      <c r="CH139" s="164">
        <f>SUMIF($E$6:$E$128,"520",$CH$6:$CH$128)</f>
        <v>923147182</v>
      </c>
      <c r="CI139" s="164">
        <f>SUMIF($E$6:$E$128,"520",$CI$6:$CI$128)</f>
        <v>0</v>
      </c>
      <c r="CJ139" s="164">
        <f>SUMIF($E$6:$E$128,"520",$CJ$6:$CJ$128)</f>
        <v>0</v>
      </c>
      <c r="CK139" s="164">
        <f>SUMIF($E$6:$E$128,"520",$CK$6:$CK$128)</f>
        <v>0</v>
      </c>
      <c r="CL139" s="164">
        <f>SUMIF($E$6:$E$128,"520",$CL$6:$CL$128)</f>
        <v>121783331</v>
      </c>
      <c r="CM139" s="164">
        <f>SUMIF($E$6:$E$128,"520",$CM$6:$CM$128)</f>
        <v>0</v>
      </c>
      <c r="CN139" s="164">
        <f>SUMIF($E$6:$E$128,"520",$CN$6:$CN$128)</f>
        <v>0</v>
      </c>
      <c r="CO139" s="164">
        <f>SUMIF($E$6:$E$128,"520",$CO$6:$CO$128)</f>
        <v>0</v>
      </c>
      <c r="CP139" s="164">
        <f>SUMIF($E$6:$E$128,"520",$CP$6:$CP$128)</f>
        <v>0</v>
      </c>
      <c r="CQ139" s="164">
        <f>SUMIF($E$6:$E$128,"520",$CQ$6:$CQ$128)</f>
        <v>0</v>
      </c>
      <c r="CR139" s="164">
        <f>SUMIF($E$6:$E$128,"520",$CR$6:$CR$128)</f>
        <v>0</v>
      </c>
      <c r="CS139" s="164">
        <f>SUMIF($E$6:$E$128,"520",$CS$6:$CS$128)</f>
        <v>0</v>
      </c>
      <c r="CT139" s="164">
        <f>SUMIF($E$6:$E$128,"520",$CT$6:$CT$128)</f>
        <v>0</v>
      </c>
      <c r="CU139" s="164">
        <f>SUMIF($E$6:$E$128,"520",$CU$6:$CU$128)</f>
        <v>0</v>
      </c>
      <c r="CV139" s="164">
        <f>SUMIF($E$6:$E$128,"520",$CV$6:$CV$128)</f>
        <v>1175342062</v>
      </c>
      <c r="CW139" s="164">
        <f>SUMIF($E$6:$E$128,"520",$CW$6:$CW$128)</f>
        <v>0</v>
      </c>
      <c r="CX139" s="164">
        <f>SUMIF($E$6:$E$128,"520",$CX$6:$CX$128)</f>
        <v>217639643</v>
      </c>
      <c r="CY139" s="164">
        <f>SUMIF($E$6:$E$128,"520",$CY$6:$CY$128)</f>
        <v>172510944</v>
      </c>
      <c r="CZ139" s="164">
        <f>SUMIF($E$6:$E$128,"520",$CZ$6:$CZ$128)</f>
        <v>0</v>
      </c>
      <c r="DA139" s="164">
        <f>SUMIF($E$6:$E$128,"520",$DA$6:$DA$128)</f>
        <v>0</v>
      </c>
      <c r="DB139" s="164">
        <f>SUMIF($E$6:$E$128,"520",$DB$6:$DB$128)</f>
        <v>0</v>
      </c>
      <c r="DC139" s="167">
        <f>SUMIF($E$6:$E$128,"520",$DC$6:$DC$128)</f>
        <v>829382547</v>
      </c>
      <c r="DD139" s="46">
        <f t="shared" ca="1" si="110"/>
        <v>0.19436653275709903</v>
      </c>
      <c r="DE139" s="49">
        <f t="shared" si="111"/>
        <v>829884974</v>
      </c>
      <c r="DF139" s="165">
        <f>SUMIF($E$6:$E$128,"520",$DF$6:$DF$128)</f>
        <v>0</v>
      </c>
      <c r="DG139" s="165">
        <f>SUMIF($E$6:$E$128,"520",$DG$6:$DG$128)</f>
        <v>162027096</v>
      </c>
      <c r="DH139" s="165">
        <f>SUMIF($E$6:$E$128,"520",$DH$6:$DH$128)</f>
        <v>0</v>
      </c>
      <c r="DI139" s="165">
        <f>SUMIF($E$6:$E$128,"520",$DI$6:$DI$128)</f>
        <v>0</v>
      </c>
      <c r="DJ139" s="165">
        <f>SUMIF($E$6:$E$128,"520",$DJ$6:$DJ$128)</f>
        <v>0</v>
      </c>
      <c r="DK139" s="165">
        <f>SUMIF($E$6:$E$128,"520",$DK$6:$DK$128)</f>
        <v>45862221</v>
      </c>
      <c r="DL139" s="165">
        <f>SUMIF($E$6:$E$128,"520",$DL$6:$DL$128)</f>
        <v>0</v>
      </c>
      <c r="DM139" s="165">
        <f>SUMIF($E$6:$E$128,"520",$DM$6:$DM$128)</f>
        <v>0</v>
      </c>
      <c r="DN139" s="165">
        <f>SUMIF($E$6:$E$128,"520",$DN$6:$DN$128)</f>
        <v>0</v>
      </c>
      <c r="DO139" s="165">
        <f>SUMIF($E$6:$E$128,"520",$DO$6:$DO$128)</f>
        <v>0</v>
      </c>
      <c r="DP139" s="168">
        <f>SUMIF($E$6:$E$128,"520",$DP$6:$DP$128)</f>
        <v>0</v>
      </c>
      <c r="DQ139" s="168">
        <f>SUMIF($E$6:$E$128,"520",$DQ$6:$DQ$128)</f>
        <v>0</v>
      </c>
      <c r="DR139" s="168">
        <f>SUMIF($E$6:$E$128,"520",$DR$6:$DR$128)</f>
        <v>0</v>
      </c>
      <c r="DS139" s="168">
        <f>SUMIF($E$6:$E$128,"520",$DS$6:$DS$128)</f>
        <v>0</v>
      </c>
      <c r="DT139" s="168">
        <f>SUMIF($E$6:$E$128,"520",$DT$6:$DT$128)</f>
        <v>0</v>
      </c>
      <c r="DU139" s="168">
        <f>SUMIF($E$6:$E$128,"520",$DU$6:$DU$128)</f>
        <v>199282938</v>
      </c>
      <c r="DV139" s="168">
        <f>SUMIF($E$6:$E$128,"520",$DV$6:$DV$128)</f>
        <v>0</v>
      </c>
      <c r="DW139" s="168">
        <f>SUMIF($E$6:$E$128,"520",$DW$6:$DW$128)</f>
        <v>210127223</v>
      </c>
      <c r="DX139" s="168">
        <f>SUMIF($E$6:$E$128,"520",$DX$6:$DX$128)</f>
        <v>24901327</v>
      </c>
      <c r="DY139" s="168">
        <f>SUMIF($E$6:$E$128,"520",$DY$6:$DY$128)</f>
        <v>0</v>
      </c>
      <c r="DZ139" s="168">
        <f>SUMIF($E$6:$E$128,"520",$DZ$6:$DZ$128)</f>
        <v>0</v>
      </c>
      <c r="EA139" s="168">
        <f>SUMIF($E$6:$E$128,"520",$EA$6:$EA$128)</f>
        <v>0</v>
      </c>
      <c r="EB139" s="168">
        <f>SUMIF($E$6:$E$128,"520",$EB$6:$EB$128)</f>
        <v>187684169</v>
      </c>
      <c r="ED139" s="201" t="s">
        <v>395</v>
      </c>
      <c r="EE139" s="86">
        <f t="shared" ca="1" si="112"/>
        <v>2334820216</v>
      </c>
      <c r="EF139" s="86">
        <f t="shared" si="113"/>
        <v>1524769867</v>
      </c>
      <c r="EG139" s="205">
        <f t="shared" ca="1" si="114"/>
        <v>0.65305664930905327</v>
      </c>
    </row>
    <row r="140" spans="1:137" ht="15.75" thickBot="1" x14ac:dyDescent="0.3">
      <c r="C140" s="173" t="s">
        <v>375</v>
      </c>
      <c r="D140" s="174"/>
      <c r="E140" s="175"/>
      <c r="F140" s="176"/>
      <c r="G140" s="177">
        <f ca="1">SUM(G133:G139)</f>
        <v>47285614871</v>
      </c>
      <c r="H140" s="178">
        <f t="shared" ref="H140:AF140" ca="1" si="115">SUM(H133:H139)</f>
        <v>37326786386</v>
      </c>
      <c r="I140" s="178">
        <f t="shared" ca="1" si="115"/>
        <v>-9958828485</v>
      </c>
      <c r="J140" s="177">
        <f t="shared" si="115"/>
        <v>2422439838</v>
      </c>
      <c r="K140" s="177">
        <f t="shared" si="115"/>
        <v>3721535284</v>
      </c>
      <c r="L140" s="177">
        <f t="shared" si="115"/>
        <v>24243035</v>
      </c>
      <c r="M140" s="177">
        <f t="shared" si="115"/>
        <v>9772000888</v>
      </c>
      <c r="N140" s="177">
        <f t="shared" si="115"/>
        <v>6856843769</v>
      </c>
      <c r="O140" s="177">
        <f t="shared" si="115"/>
        <v>167645552</v>
      </c>
      <c r="P140" s="177">
        <f t="shared" si="115"/>
        <v>212423035</v>
      </c>
      <c r="Q140" s="177">
        <f t="shared" si="115"/>
        <v>4066423197</v>
      </c>
      <c r="R140" s="177">
        <f t="shared" si="115"/>
        <v>668465994</v>
      </c>
      <c r="S140" s="177">
        <f t="shared" si="115"/>
        <v>626546789</v>
      </c>
      <c r="T140" s="177">
        <f>SUM(T133:T139)</f>
        <v>764044263</v>
      </c>
      <c r="U140" s="179">
        <f t="shared" si="115"/>
        <v>709673874</v>
      </c>
      <c r="V140" s="179">
        <f t="shared" si="115"/>
        <v>201867582</v>
      </c>
      <c r="W140" s="177">
        <f t="shared" si="115"/>
        <v>690751605</v>
      </c>
      <c r="X140" s="179">
        <f t="shared" si="115"/>
        <v>436609040</v>
      </c>
      <c r="Y140" s="177">
        <f t="shared" si="115"/>
        <v>4234779075</v>
      </c>
      <c r="Z140" s="177">
        <f t="shared" si="115"/>
        <v>1208521042</v>
      </c>
      <c r="AA140" s="177">
        <f t="shared" si="115"/>
        <v>3653080573</v>
      </c>
      <c r="AB140" s="177">
        <f t="shared" si="115"/>
        <v>896735515</v>
      </c>
      <c r="AC140" s="177">
        <f t="shared" si="115"/>
        <v>1853354458</v>
      </c>
      <c r="AD140" s="177">
        <f t="shared" si="115"/>
        <v>475996742</v>
      </c>
      <c r="AE140" s="177">
        <f t="shared" si="115"/>
        <v>547409151</v>
      </c>
      <c r="AF140" s="177">
        <f t="shared" si="115"/>
        <v>3074224570</v>
      </c>
      <c r="AG140" s="180">
        <f t="shared" ca="1" si="105"/>
        <v>0.68886984417701258</v>
      </c>
      <c r="AH140" s="181">
        <f t="shared" ref="AH140:BE140" si="116">SUM(AH133:AH139)</f>
        <v>32573634148</v>
      </c>
      <c r="AI140" s="181">
        <f t="shared" si="116"/>
        <v>1215982245</v>
      </c>
      <c r="AJ140" s="181">
        <f t="shared" si="116"/>
        <v>3257878420</v>
      </c>
      <c r="AK140" s="181">
        <f t="shared" si="116"/>
        <v>2000000</v>
      </c>
      <c r="AL140" s="181">
        <f t="shared" si="116"/>
        <v>3989285892</v>
      </c>
      <c r="AM140" s="181">
        <f t="shared" si="116"/>
        <v>6855066956</v>
      </c>
      <c r="AN140" s="181">
        <f t="shared" si="116"/>
        <v>155819660</v>
      </c>
      <c r="AO140" s="181">
        <f t="shared" si="116"/>
        <v>100000000</v>
      </c>
      <c r="AP140" s="181">
        <f t="shared" si="116"/>
        <v>2769764971</v>
      </c>
      <c r="AQ140" s="181">
        <f t="shared" si="116"/>
        <v>58183470</v>
      </c>
      <c r="AR140" s="181">
        <f t="shared" si="116"/>
        <v>107981429</v>
      </c>
      <c r="AS140" s="181">
        <f t="shared" si="116"/>
        <v>376515468</v>
      </c>
      <c r="AT140" s="181">
        <f t="shared" si="116"/>
        <v>372157846</v>
      </c>
      <c r="AU140" s="181">
        <f t="shared" si="116"/>
        <v>47237313</v>
      </c>
      <c r="AV140" s="181">
        <f t="shared" si="116"/>
        <v>51651000</v>
      </c>
      <c r="AW140" s="181">
        <f t="shared" si="116"/>
        <v>370776495</v>
      </c>
      <c r="AX140" s="181">
        <f t="shared" si="116"/>
        <v>3784780270</v>
      </c>
      <c r="AY140" s="181">
        <f t="shared" si="116"/>
        <v>1039845000</v>
      </c>
      <c r="AZ140" s="181">
        <f t="shared" si="116"/>
        <v>2618218341</v>
      </c>
      <c r="BA140" s="181">
        <f t="shared" si="116"/>
        <v>858292098</v>
      </c>
      <c r="BB140" s="181">
        <f t="shared" si="116"/>
        <v>1102823138</v>
      </c>
      <c r="BC140" s="181">
        <f t="shared" si="116"/>
        <v>467767409</v>
      </c>
      <c r="BD140" s="181">
        <f t="shared" si="116"/>
        <v>547409151</v>
      </c>
      <c r="BE140" s="181">
        <f t="shared" si="116"/>
        <v>2424197576</v>
      </c>
      <c r="BF140" s="182">
        <f t="shared" ca="1" si="106"/>
        <v>0.31113015582298742</v>
      </c>
      <c r="BG140" s="181">
        <f t="shared" ref="BG140:CD140" si="117">SUM(BG133:BG139)</f>
        <v>14711980723</v>
      </c>
      <c r="BH140" s="181">
        <f t="shared" si="117"/>
        <v>1206457593</v>
      </c>
      <c r="BI140" s="181">
        <f t="shared" si="117"/>
        <v>463656864</v>
      </c>
      <c r="BJ140" s="181">
        <f t="shared" si="117"/>
        <v>22243035</v>
      </c>
      <c r="BK140" s="181">
        <f t="shared" si="117"/>
        <v>5782714996</v>
      </c>
      <c r="BL140" s="181">
        <f t="shared" si="117"/>
        <v>1776813</v>
      </c>
      <c r="BM140" s="181">
        <f t="shared" si="117"/>
        <v>11825892</v>
      </c>
      <c r="BN140" s="181">
        <f t="shared" si="117"/>
        <v>112423035</v>
      </c>
      <c r="BO140" s="181">
        <f t="shared" si="117"/>
        <v>1296658226</v>
      </c>
      <c r="BP140" s="181">
        <f t="shared" si="117"/>
        <v>610282524</v>
      </c>
      <c r="BQ140" s="181">
        <f t="shared" si="117"/>
        <v>518565360</v>
      </c>
      <c r="BR140" s="181">
        <f t="shared" si="117"/>
        <v>387528795</v>
      </c>
      <c r="BS140" s="181">
        <f t="shared" si="117"/>
        <v>337516028</v>
      </c>
      <c r="BT140" s="181">
        <f t="shared" si="117"/>
        <v>154630269</v>
      </c>
      <c r="BU140" s="181">
        <f t="shared" si="117"/>
        <v>639100605</v>
      </c>
      <c r="BV140" s="181">
        <f t="shared" si="117"/>
        <v>65832545</v>
      </c>
      <c r="BW140" s="181">
        <f t="shared" si="117"/>
        <v>449998805</v>
      </c>
      <c r="BX140" s="181">
        <f t="shared" si="117"/>
        <v>168676042</v>
      </c>
      <c r="BY140" s="181">
        <f t="shared" si="117"/>
        <v>1034862232</v>
      </c>
      <c r="BZ140" s="181">
        <f t="shared" si="117"/>
        <v>38443417</v>
      </c>
      <c r="CA140" s="181">
        <f t="shared" si="117"/>
        <v>750531320</v>
      </c>
      <c r="CB140" s="181">
        <f t="shared" si="117"/>
        <v>8229333</v>
      </c>
      <c r="CC140" s="181">
        <f t="shared" si="117"/>
        <v>0</v>
      </c>
      <c r="CD140" s="181">
        <f t="shared" si="117"/>
        <v>650026994</v>
      </c>
      <c r="CE140" s="46">
        <f t="shared" ca="1" si="108"/>
        <v>0.49531354715161147</v>
      </c>
      <c r="CF140" s="183">
        <f t="shared" ref="CF140:DC140" si="118">SUM(CF133:CF139)</f>
        <v>23421205631</v>
      </c>
      <c r="CG140" s="183">
        <f t="shared" si="118"/>
        <v>775200465</v>
      </c>
      <c r="CH140" s="183">
        <f t="shared" si="118"/>
        <v>2774333262</v>
      </c>
      <c r="CI140" s="183">
        <f t="shared" si="118"/>
        <v>2000000</v>
      </c>
      <c r="CJ140" s="183">
        <f t="shared" si="118"/>
        <v>1003224486</v>
      </c>
      <c r="CK140" s="183">
        <f t="shared" si="118"/>
        <v>6855066956</v>
      </c>
      <c r="CL140" s="183">
        <f t="shared" si="118"/>
        <v>121783331</v>
      </c>
      <c r="CM140" s="183">
        <f t="shared" si="118"/>
        <v>100000000</v>
      </c>
      <c r="CN140" s="183">
        <f t="shared" si="118"/>
        <v>2190412835</v>
      </c>
      <c r="CO140" s="183">
        <f t="shared" si="118"/>
        <v>20074931</v>
      </c>
      <c r="CP140" s="183">
        <f t="shared" si="118"/>
        <v>21592891</v>
      </c>
      <c r="CQ140" s="183">
        <f t="shared" si="118"/>
        <v>12174526</v>
      </c>
      <c r="CR140" s="183">
        <f t="shared" si="118"/>
        <v>348974049</v>
      </c>
      <c r="CS140" s="183">
        <f t="shared" si="118"/>
        <v>0</v>
      </c>
      <c r="CT140" s="183">
        <f t="shared" si="118"/>
        <v>42007000</v>
      </c>
      <c r="CU140" s="183">
        <f t="shared" si="118"/>
        <v>7513999</v>
      </c>
      <c r="CV140" s="183">
        <f t="shared" si="118"/>
        <v>3157609557</v>
      </c>
      <c r="CW140" s="183">
        <f t="shared" si="118"/>
        <v>778566385</v>
      </c>
      <c r="CX140" s="183">
        <f t="shared" si="118"/>
        <v>1737994924</v>
      </c>
      <c r="CY140" s="183">
        <f t="shared" si="118"/>
        <v>496337204</v>
      </c>
      <c r="CZ140" s="183">
        <f t="shared" si="118"/>
        <v>829578631</v>
      </c>
      <c r="DA140" s="183">
        <f t="shared" si="118"/>
        <v>311472790</v>
      </c>
      <c r="DB140" s="183">
        <f t="shared" si="118"/>
        <v>44817066</v>
      </c>
      <c r="DC140" s="183">
        <f t="shared" si="118"/>
        <v>1790470343</v>
      </c>
      <c r="DD140" s="180">
        <f t="shared" ca="1" si="110"/>
        <v>0.50468645284838853</v>
      </c>
      <c r="DE140" s="177">
        <f t="shared" ref="DE140:EB140" ca="1" si="119">SUM(DE133:DE139)</f>
        <v>23864409240</v>
      </c>
      <c r="DF140" s="177">
        <f t="shared" ca="1" si="119"/>
        <v>1647239373</v>
      </c>
      <c r="DG140" s="177">
        <f t="shared" si="119"/>
        <v>947202022</v>
      </c>
      <c r="DH140" s="177">
        <f t="shared" si="119"/>
        <v>22243035</v>
      </c>
      <c r="DI140" s="177">
        <f t="shared" si="119"/>
        <v>8768776402</v>
      </c>
      <c r="DJ140" s="177">
        <f t="shared" si="119"/>
        <v>1776813</v>
      </c>
      <c r="DK140" s="177">
        <f t="shared" si="119"/>
        <v>45862221</v>
      </c>
      <c r="DL140" s="177">
        <f t="shared" si="119"/>
        <v>112423035</v>
      </c>
      <c r="DM140" s="177">
        <f t="shared" si="119"/>
        <v>1876010362</v>
      </c>
      <c r="DN140" s="177">
        <f t="shared" si="119"/>
        <v>648391063</v>
      </c>
      <c r="DO140" s="177">
        <f t="shared" si="119"/>
        <v>604953898</v>
      </c>
      <c r="DP140" s="177">
        <f t="shared" si="119"/>
        <v>751869737</v>
      </c>
      <c r="DQ140" s="177">
        <f t="shared" si="119"/>
        <v>360699825</v>
      </c>
      <c r="DR140" s="177">
        <f t="shared" si="119"/>
        <v>201867582</v>
      </c>
      <c r="DS140" s="177">
        <f t="shared" si="119"/>
        <v>648744605</v>
      </c>
      <c r="DT140" s="177">
        <f t="shared" si="119"/>
        <v>429095041</v>
      </c>
      <c r="DU140" s="177">
        <f t="shared" si="119"/>
        <v>1077169518</v>
      </c>
      <c r="DV140" s="177">
        <f t="shared" si="119"/>
        <v>429954657</v>
      </c>
      <c r="DW140" s="177">
        <f t="shared" si="119"/>
        <v>1915085649</v>
      </c>
      <c r="DX140" s="177">
        <f t="shared" si="119"/>
        <v>400398311</v>
      </c>
      <c r="DY140" s="177">
        <f t="shared" si="119"/>
        <v>1023775827</v>
      </c>
      <c r="DZ140" s="177">
        <f t="shared" si="119"/>
        <v>164523952</v>
      </c>
      <c r="EA140" s="177">
        <f t="shared" si="119"/>
        <v>502592085</v>
      </c>
      <c r="EB140" s="177">
        <f t="shared" si="119"/>
        <v>1283754227</v>
      </c>
      <c r="ED140" s="201" t="s">
        <v>396</v>
      </c>
      <c r="EE140" s="86">
        <f t="shared" ca="1" si="112"/>
        <v>4269690683</v>
      </c>
      <c r="EF140" s="86">
        <f t="shared" si="113"/>
        <v>3439805709</v>
      </c>
      <c r="EG140" s="205">
        <f t="shared" ca="1" si="114"/>
        <v>0.80563346724290097</v>
      </c>
    </row>
    <row r="141" spans="1:137" ht="15.75" thickTop="1" x14ac:dyDescent="0.25"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  <c r="BC141" s="86"/>
      <c r="BD141" s="86"/>
      <c r="BE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  <c r="BT141" s="86"/>
      <c r="BU141" s="86"/>
      <c r="BV141" s="86"/>
      <c r="BW141" s="86"/>
      <c r="BX141" s="86"/>
      <c r="BY141" s="86"/>
      <c r="BZ141" s="86"/>
      <c r="CA141" s="86"/>
      <c r="CB141" s="86"/>
      <c r="CC141" s="86"/>
      <c r="CD141" s="86"/>
      <c r="CE141" s="86"/>
      <c r="CF141" s="86"/>
      <c r="CG141" s="86"/>
      <c r="CH141" s="86"/>
      <c r="CI141" s="86"/>
      <c r="CJ141" s="86"/>
      <c r="CK141" s="86"/>
      <c r="CL141" s="86"/>
      <c r="CM141" s="86"/>
      <c r="CN141" s="86"/>
      <c r="CO141" s="86"/>
      <c r="CP141" s="86"/>
      <c r="CQ141" s="86"/>
      <c r="CR141" s="86"/>
      <c r="CS141" s="86"/>
      <c r="CT141" s="86"/>
      <c r="CU141" s="86"/>
      <c r="CV141" s="86"/>
      <c r="CW141" s="86"/>
      <c r="CX141" s="86"/>
      <c r="CY141" s="86"/>
      <c r="CZ141" s="86"/>
      <c r="DA141" s="86"/>
      <c r="DB141" s="86"/>
      <c r="DC141" s="86"/>
      <c r="DD141" s="86"/>
      <c r="DE141" s="86"/>
      <c r="DF141" s="86">
        <f t="shared" ref="BG141:DR141" ca="1" si="120">+DF131-DF140</f>
        <v>0</v>
      </c>
      <c r="DG141" s="86">
        <f t="shared" si="120"/>
        <v>0</v>
      </c>
      <c r="DH141" s="86">
        <f t="shared" si="120"/>
        <v>0</v>
      </c>
      <c r="DI141" s="86">
        <f t="shared" si="120"/>
        <v>0</v>
      </c>
      <c r="DJ141" s="86">
        <f t="shared" si="120"/>
        <v>0</v>
      </c>
      <c r="DK141" s="86">
        <f t="shared" si="120"/>
        <v>0</v>
      </c>
      <c r="DL141" s="86">
        <f t="shared" si="120"/>
        <v>0</v>
      </c>
      <c r="DM141" s="86">
        <f t="shared" si="120"/>
        <v>0</v>
      </c>
      <c r="DN141" s="86">
        <f t="shared" si="120"/>
        <v>0</v>
      </c>
      <c r="DO141" s="86">
        <f t="shared" si="120"/>
        <v>0</v>
      </c>
      <c r="DP141" s="86">
        <f t="shared" si="120"/>
        <v>0</v>
      </c>
      <c r="DQ141" s="86">
        <f t="shared" si="120"/>
        <v>0</v>
      </c>
      <c r="DR141" s="86">
        <f t="shared" si="120"/>
        <v>0</v>
      </c>
      <c r="DS141" s="86">
        <f t="shared" ref="DS141:EB141" si="121">+DS131-DS140</f>
        <v>0</v>
      </c>
      <c r="DT141" s="86">
        <f t="shared" si="121"/>
        <v>0</v>
      </c>
      <c r="DU141" s="86">
        <f t="shared" si="121"/>
        <v>0</v>
      </c>
      <c r="DV141" s="86">
        <f t="shared" si="121"/>
        <v>0</v>
      </c>
      <c r="DW141" s="86">
        <f t="shared" si="121"/>
        <v>0</v>
      </c>
      <c r="DX141" s="86">
        <f t="shared" si="121"/>
        <v>0</v>
      </c>
      <c r="DY141" s="86">
        <f t="shared" si="121"/>
        <v>0</v>
      </c>
      <c r="DZ141" s="86">
        <f t="shared" si="121"/>
        <v>0</v>
      </c>
      <c r="EA141" s="86">
        <f t="shared" si="121"/>
        <v>0</v>
      </c>
      <c r="EB141" s="86">
        <f t="shared" si="121"/>
        <v>0</v>
      </c>
    </row>
    <row r="142" spans="1:137" ht="18.75" customHeight="1" x14ac:dyDescent="0.25">
      <c r="D142" s="184"/>
      <c r="E142" s="185"/>
      <c r="K142" s="86"/>
      <c r="AB142" s="86"/>
      <c r="AC142" s="86"/>
      <c r="AF142" s="86"/>
      <c r="ED142" s="204" t="s">
        <v>41</v>
      </c>
      <c r="EE142" s="86">
        <f ca="1">EE134+EE135+EE136+EE137+EE138+EE139+EE140</f>
        <v>47285614871</v>
      </c>
      <c r="EF142" s="86">
        <f>EF134+EF135+EF136+EF137+EF138+EF139+EF140</f>
        <v>23421205631</v>
      </c>
      <c r="EG142" s="205">
        <f ca="1">+CE140</f>
        <v>0.49531354715161147</v>
      </c>
    </row>
    <row r="147" spans="12:12" x14ac:dyDescent="0.25">
      <c r="L147" s="1"/>
    </row>
    <row r="148" spans="12:12" x14ac:dyDescent="0.25">
      <c r="L148" s="1"/>
    </row>
    <row r="197" spans="7:59" ht="15.75" x14ac:dyDescent="0.25">
      <c r="G197" s="206" t="s">
        <v>409</v>
      </c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</row>
    <row r="198" spans="7:59" ht="47.25" customHeight="1" x14ac:dyDescent="0.25">
      <c r="G198" s="208" t="s">
        <v>5</v>
      </c>
      <c r="H198" s="209" t="s">
        <v>397</v>
      </c>
      <c r="I198" s="210"/>
      <c r="J198" s="211" t="s">
        <v>398</v>
      </c>
      <c r="K198" s="208"/>
      <c r="L198" s="208"/>
      <c r="M198" s="208"/>
      <c r="N198" s="208"/>
      <c r="O198" s="208"/>
      <c r="P198" s="208" t="s">
        <v>399</v>
      </c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 t="s">
        <v>400</v>
      </c>
      <c r="AB198" s="208" t="s">
        <v>399</v>
      </c>
      <c r="AC198" s="208" t="s">
        <v>401</v>
      </c>
      <c r="AD198" s="208"/>
      <c r="AE198" s="208"/>
      <c r="AF198" s="212" t="s">
        <v>402</v>
      </c>
      <c r="AG198" s="211" t="s">
        <v>410</v>
      </c>
      <c r="AH198" s="211" t="s">
        <v>411</v>
      </c>
      <c r="AI198" s="211" t="s">
        <v>403</v>
      </c>
      <c r="BE198" s="211" t="s">
        <v>404</v>
      </c>
      <c r="BF198" s="211" t="s">
        <v>412</v>
      </c>
      <c r="BG198" s="211" t="s">
        <v>405</v>
      </c>
    </row>
    <row r="199" spans="7:59" x14ac:dyDescent="0.25">
      <c r="G199" s="213" t="s">
        <v>43</v>
      </c>
      <c r="H199" s="214">
        <v>1900646157</v>
      </c>
      <c r="I199" s="146"/>
      <c r="J199" s="215">
        <f>+AI37-H199</f>
        <v>-1900646157</v>
      </c>
      <c r="K199" s="213"/>
      <c r="L199" s="213"/>
      <c r="M199" s="213"/>
      <c r="N199" s="213"/>
      <c r="O199" s="213"/>
      <c r="P199" s="216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  <c r="AA199" s="217"/>
      <c r="AB199" s="216"/>
      <c r="AC199" s="218"/>
      <c r="AD199" s="219"/>
      <c r="AE199" s="219"/>
      <c r="AF199" s="220">
        <f>+H199+J199</f>
        <v>0</v>
      </c>
      <c r="AG199" s="215">
        <f>+'[12]P. ACCIÓN CONSOLIDADO  OCT. 21'!$BF$199</f>
        <v>962508272</v>
      </c>
      <c r="AH199" s="215">
        <f>+CF24-AG199</f>
        <v>308611895</v>
      </c>
      <c r="AI199" s="221">
        <v>0.58179999999999998</v>
      </c>
      <c r="BE199" s="222">
        <f>+CF26-AG199</f>
        <v>-949508272</v>
      </c>
      <c r="BF199" s="215">
        <f>AG199+AH199</f>
        <v>1271120167</v>
      </c>
      <c r="BG199" s="221">
        <f>+CE24</f>
        <v>0.4755737136852809</v>
      </c>
    </row>
    <row r="200" spans="7:59" x14ac:dyDescent="0.25">
      <c r="G200" s="213" t="s">
        <v>98</v>
      </c>
      <c r="H200" s="214">
        <v>3003109701</v>
      </c>
      <c r="I200" s="146"/>
      <c r="J200" s="215">
        <f>+AI78-H200</f>
        <v>-2993209701</v>
      </c>
      <c r="K200" s="213"/>
      <c r="L200" s="213"/>
      <c r="M200" s="213"/>
      <c r="N200" s="213"/>
      <c r="O200" s="213"/>
      <c r="P200" s="216"/>
      <c r="Q200" s="213"/>
      <c r="R200" s="213"/>
      <c r="S200" s="213"/>
      <c r="T200" s="213"/>
      <c r="U200" s="213"/>
      <c r="V200" s="213"/>
      <c r="W200" s="213"/>
      <c r="X200" s="213"/>
      <c r="Y200" s="213"/>
      <c r="Z200" s="213"/>
      <c r="AA200" s="217"/>
      <c r="AB200" s="216"/>
      <c r="AC200" s="218"/>
      <c r="AD200" s="219"/>
      <c r="AE200" s="219"/>
      <c r="AF200" s="220">
        <f>+H200+J200</f>
        <v>9900000</v>
      </c>
      <c r="AG200" s="215">
        <f>+'[12]P. ACCIÓN CONSOLIDADO  OCT. 21'!$BF$200</f>
        <v>4564053051</v>
      </c>
      <c r="AH200" s="215">
        <f>CF50-AG200</f>
        <v>562010307</v>
      </c>
      <c r="AI200" s="221">
        <v>0.42409999999999998</v>
      </c>
      <c r="BE200" s="222">
        <f>+CF52-AG200</f>
        <v>-4527018616</v>
      </c>
      <c r="BF200" s="215">
        <f>AG200+AH200</f>
        <v>5126063358</v>
      </c>
      <c r="BG200" s="221">
        <f>+CE50</f>
        <v>0.55659352827104247</v>
      </c>
    </row>
    <row r="201" spans="7:59" x14ac:dyDescent="0.25">
      <c r="G201" s="213" t="s">
        <v>406</v>
      </c>
      <c r="H201" s="214">
        <v>2612398443</v>
      </c>
      <c r="I201" s="146"/>
      <c r="J201" s="215">
        <f>+AI102-H201</f>
        <v>-2612398443</v>
      </c>
      <c r="K201" s="213"/>
      <c r="L201" s="213"/>
      <c r="M201" s="213"/>
      <c r="N201" s="213"/>
      <c r="O201" s="213"/>
      <c r="P201" s="216"/>
      <c r="Q201" s="213"/>
      <c r="R201" s="213"/>
      <c r="S201" s="213"/>
      <c r="T201" s="213"/>
      <c r="U201" s="213"/>
      <c r="V201" s="213"/>
      <c r="W201" s="213"/>
      <c r="X201" s="213"/>
      <c r="Y201" s="213"/>
      <c r="Z201" s="213"/>
      <c r="AA201" s="217"/>
      <c r="AB201" s="216"/>
      <c r="AC201" s="218"/>
      <c r="AD201" s="219"/>
      <c r="AE201" s="219"/>
      <c r="AF201" s="220">
        <f>+H201+J201</f>
        <v>0</v>
      </c>
      <c r="AG201" s="215">
        <f>+'[12]P. ACCIÓN CONSOLIDADO  OCT. 21'!$BF$201</f>
        <v>3266360255</v>
      </c>
      <c r="AH201" s="215">
        <f>CF77-AG201</f>
        <v>173445454</v>
      </c>
      <c r="AI201" s="221">
        <v>0.62250000000000005</v>
      </c>
      <c r="BE201" s="222">
        <f>+CF79-AG201</f>
        <v>-3262913589</v>
      </c>
      <c r="BF201" s="215">
        <f>AG201+AH201</f>
        <v>3439805709</v>
      </c>
      <c r="BG201" s="221">
        <f>+CE77</f>
        <v>0.80563346724290097</v>
      </c>
    </row>
    <row r="202" spans="7:59" x14ac:dyDescent="0.25">
      <c r="G202" s="213" t="s">
        <v>407</v>
      </c>
      <c r="H202" s="214">
        <v>2724491493</v>
      </c>
      <c r="I202" s="146"/>
      <c r="J202" s="215">
        <f>+AI119-H202</f>
        <v>-2702391653</v>
      </c>
      <c r="K202" s="213"/>
      <c r="L202" s="213"/>
      <c r="M202" s="213"/>
      <c r="N202" s="213"/>
      <c r="O202" s="213"/>
      <c r="P202" s="216"/>
      <c r="Q202" s="213"/>
      <c r="R202" s="213"/>
      <c r="S202" s="213"/>
      <c r="T202" s="213"/>
      <c r="U202" s="213"/>
      <c r="V202" s="213"/>
      <c r="W202" s="213"/>
      <c r="X202" s="213"/>
      <c r="Y202" s="213"/>
      <c r="Z202" s="213"/>
      <c r="AA202" s="217"/>
      <c r="AB202" s="216"/>
      <c r="AC202" s="218"/>
      <c r="AD202" s="219"/>
      <c r="AE202" s="219"/>
      <c r="AF202" s="220">
        <f>+H202+J202</f>
        <v>22099840</v>
      </c>
      <c r="AG202" s="215">
        <f>+'[12]P. ACCIÓN CONSOLIDADO  OCT. 21'!$BF$202</f>
        <v>1975959729</v>
      </c>
      <c r="AH202" s="215">
        <f>CF97-AG202</f>
        <v>167920345</v>
      </c>
      <c r="AI202" s="221">
        <v>0.78080000000000005</v>
      </c>
      <c r="BE202" s="222">
        <f>+CF99-AG202</f>
        <v>-1975959729</v>
      </c>
      <c r="BF202" s="215">
        <f>AG202+AH202</f>
        <v>2143880074</v>
      </c>
      <c r="BG202" s="221">
        <f>+CE97</f>
        <v>0.46415093743878844</v>
      </c>
    </row>
    <row r="203" spans="7:59" x14ac:dyDescent="0.25">
      <c r="G203" s="213" t="s">
        <v>311</v>
      </c>
      <c r="H203" s="214">
        <v>5405496505</v>
      </c>
      <c r="I203" s="146"/>
      <c r="J203" s="215">
        <f>+AI140-H203</f>
        <v>-4189514260</v>
      </c>
      <c r="K203" s="213"/>
      <c r="L203" s="213"/>
      <c r="M203" s="213"/>
      <c r="N203" s="213"/>
      <c r="O203" s="213"/>
      <c r="P203" s="216"/>
      <c r="Q203" s="213"/>
      <c r="R203" s="213"/>
      <c r="S203" s="213"/>
      <c r="T203" s="213"/>
      <c r="U203" s="213"/>
      <c r="V203" s="213"/>
      <c r="W203" s="213"/>
      <c r="X203" s="213"/>
      <c r="Y203" s="213"/>
      <c r="Z203" s="213"/>
      <c r="AA203" s="217"/>
      <c r="AB203" s="216"/>
      <c r="AC203" s="218"/>
      <c r="AD203" s="219"/>
      <c r="AE203" s="219"/>
      <c r="AF203" s="220">
        <f>+H203+J203</f>
        <v>1215982245</v>
      </c>
      <c r="AG203" s="215">
        <f>+'[12]P. ACCIÓN CONSOLIDADO  OCT. 21'!$BF$203</f>
        <v>11029220521</v>
      </c>
      <c r="AH203" s="215">
        <f>CF129-AG203</f>
        <v>411115802</v>
      </c>
      <c r="AI203" s="221">
        <v>0.2888</v>
      </c>
      <c r="BE203" s="222">
        <f>+CF131-AG203</f>
        <v>12391985110</v>
      </c>
      <c r="BF203" s="215">
        <f>AG203+AH203</f>
        <v>11440336323</v>
      </c>
      <c r="BG203" s="221">
        <f>+CE129</f>
        <v>0.43147513372129281</v>
      </c>
    </row>
    <row r="204" spans="7:59" ht="15.75" thickBot="1" x14ac:dyDescent="0.3">
      <c r="G204" s="223" t="s">
        <v>408</v>
      </c>
      <c r="H204" s="224">
        <f>H199+H200+H201+H202+H203</f>
        <v>15646142299</v>
      </c>
      <c r="I204" s="225"/>
      <c r="J204" s="224">
        <f>J199+J200+J201+J202+J203</f>
        <v>-14398160214</v>
      </c>
      <c r="K204" s="224">
        <f t="shared" ref="K204:BF204" si="122">K199+K200+K201+K202+K203</f>
        <v>0</v>
      </c>
      <c r="L204" s="224">
        <f t="shared" si="122"/>
        <v>0</v>
      </c>
      <c r="M204" s="224">
        <f t="shared" si="122"/>
        <v>0</v>
      </c>
      <c r="N204" s="224">
        <f t="shared" si="122"/>
        <v>0</v>
      </c>
      <c r="O204" s="224">
        <f t="shared" si="122"/>
        <v>0</v>
      </c>
      <c r="P204" s="224">
        <f t="shared" si="122"/>
        <v>0</v>
      </c>
      <c r="Q204" s="224">
        <f t="shared" si="122"/>
        <v>0</v>
      </c>
      <c r="R204" s="224">
        <f t="shared" si="122"/>
        <v>0</v>
      </c>
      <c r="S204" s="224">
        <f t="shared" si="122"/>
        <v>0</v>
      </c>
      <c r="T204" s="224">
        <f t="shared" si="122"/>
        <v>0</v>
      </c>
      <c r="U204" s="224">
        <f t="shared" si="122"/>
        <v>0</v>
      </c>
      <c r="V204" s="224">
        <f t="shared" si="122"/>
        <v>0</v>
      </c>
      <c r="W204" s="224">
        <f t="shared" si="122"/>
        <v>0</v>
      </c>
      <c r="X204" s="224">
        <f t="shared" si="122"/>
        <v>0</v>
      </c>
      <c r="Y204" s="224">
        <f t="shared" si="122"/>
        <v>0</v>
      </c>
      <c r="Z204" s="224">
        <f t="shared" si="122"/>
        <v>0</v>
      </c>
      <c r="AA204" s="224">
        <f t="shared" si="122"/>
        <v>0</v>
      </c>
      <c r="AB204" s="224">
        <f t="shared" si="122"/>
        <v>0</v>
      </c>
      <c r="AC204" s="224">
        <f t="shared" si="122"/>
        <v>0</v>
      </c>
      <c r="AD204" s="224">
        <f t="shared" si="122"/>
        <v>0</v>
      </c>
      <c r="AE204" s="224">
        <f t="shared" si="122"/>
        <v>0</v>
      </c>
      <c r="AF204" s="224">
        <f t="shared" si="122"/>
        <v>1247982085</v>
      </c>
      <c r="AG204" s="226">
        <f>AG199+AG200+AG201+AG202+AG203</f>
        <v>21798101828</v>
      </c>
      <c r="AH204" s="226">
        <f>AH199+AH200+AH201+AH202+AH203</f>
        <v>1623103803</v>
      </c>
      <c r="AI204" s="226">
        <f t="shared" si="122"/>
        <v>2.6980000000000004</v>
      </c>
      <c r="AJ204" s="226">
        <f t="shared" si="122"/>
        <v>0</v>
      </c>
      <c r="AK204" s="226">
        <f t="shared" si="122"/>
        <v>0</v>
      </c>
      <c r="AL204" s="226">
        <f t="shared" si="122"/>
        <v>0</v>
      </c>
      <c r="AM204" s="226">
        <f t="shared" si="122"/>
        <v>0</v>
      </c>
      <c r="AN204" s="226">
        <f t="shared" si="122"/>
        <v>0</v>
      </c>
      <c r="AO204" s="226">
        <f t="shared" si="122"/>
        <v>0</v>
      </c>
      <c r="AP204" s="226">
        <f t="shared" si="122"/>
        <v>0</v>
      </c>
      <c r="AQ204" s="226">
        <f t="shared" si="122"/>
        <v>0</v>
      </c>
      <c r="AR204" s="226">
        <f t="shared" si="122"/>
        <v>0</v>
      </c>
      <c r="AS204" s="226">
        <f t="shared" si="122"/>
        <v>0</v>
      </c>
      <c r="AT204" s="226">
        <f t="shared" si="122"/>
        <v>0</v>
      </c>
      <c r="AU204" s="226">
        <f t="shared" si="122"/>
        <v>0</v>
      </c>
      <c r="AV204" s="226">
        <f t="shared" si="122"/>
        <v>0</v>
      </c>
      <c r="AW204" s="226">
        <f t="shared" si="122"/>
        <v>0</v>
      </c>
      <c r="AX204" s="226">
        <f t="shared" si="122"/>
        <v>0</v>
      </c>
      <c r="AY204" s="226">
        <f t="shared" si="122"/>
        <v>0</v>
      </c>
      <c r="AZ204" s="226">
        <f t="shared" si="122"/>
        <v>0</v>
      </c>
      <c r="BA204" s="226">
        <f t="shared" si="122"/>
        <v>0</v>
      </c>
      <c r="BB204" s="226">
        <f t="shared" si="122"/>
        <v>0</v>
      </c>
      <c r="BC204" s="226">
        <f t="shared" si="122"/>
        <v>0</v>
      </c>
      <c r="BD204" s="227">
        <f t="shared" si="122"/>
        <v>0</v>
      </c>
      <c r="BE204" s="226">
        <f t="shared" si="122"/>
        <v>1676584904</v>
      </c>
      <c r="BF204" s="226">
        <f>BF199+BF200+BF201+BF202+BF203</f>
        <v>23421205631</v>
      </c>
      <c r="BG204" s="228">
        <f>+CE131</f>
        <v>0.49531354715161147</v>
      </c>
    </row>
    <row r="205" spans="7:59" ht="15.75" thickTop="1" x14ac:dyDescent="0.25"/>
  </sheetData>
  <mergeCells count="101">
    <mergeCell ref="DH4:DI4"/>
    <mergeCell ref="DJ4:DK4"/>
    <mergeCell ref="DL4:DM4"/>
    <mergeCell ref="DN4:DO4"/>
    <mergeCell ref="DP4:DQ4"/>
    <mergeCell ref="G197:BG197"/>
    <mergeCell ref="B94:E94"/>
    <mergeCell ref="B95:E95"/>
    <mergeCell ref="B96:E96"/>
    <mergeCell ref="B97:E97"/>
    <mergeCell ref="C2:DE2"/>
    <mergeCell ref="C3:DE3"/>
    <mergeCell ref="G4:AF5"/>
    <mergeCell ref="AG4:BE4"/>
    <mergeCell ref="BF4:BG4"/>
    <mergeCell ref="B88:E88"/>
    <mergeCell ref="B89:E89"/>
    <mergeCell ref="B90:E90"/>
    <mergeCell ref="B91:E91"/>
    <mergeCell ref="B92:E92"/>
    <mergeCell ref="B93:E93"/>
    <mergeCell ref="B82:E82"/>
    <mergeCell ref="B83:E83"/>
    <mergeCell ref="B84:E84"/>
    <mergeCell ref="B85:E85"/>
    <mergeCell ref="B86:E86"/>
    <mergeCell ref="B87:E87"/>
    <mergeCell ref="B73:E73"/>
    <mergeCell ref="B74:E74"/>
    <mergeCell ref="B75:E75"/>
    <mergeCell ref="B76:E76"/>
    <mergeCell ref="B77:E77"/>
    <mergeCell ref="B78:E78"/>
    <mergeCell ref="B67:E67"/>
    <mergeCell ref="B68:E68"/>
    <mergeCell ref="B69:E69"/>
    <mergeCell ref="B70:E70"/>
    <mergeCell ref="B71:E71"/>
    <mergeCell ref="B72:E72"/>
    <mergeCell ref="B61:E61"/>
    <mergeCell ref="B62:E62"/>
    <mergeCell ref="B63:E63"/>
    <mergeCell ref="B64:E64"/>
    <mergeCell ref="B65:E65"/>
    <mergeCell ref="B66:E66"/>
    <mergeCell ref="B129:D129"/>
    <mergeCell ref="C131:E131"/>
    <mergeCell ref="C140:D140"/>
    <mergeCell ref="B51:E51"/>
    <mergeCell ref="B52:E52"/>
    <mergeCell ref="B53:E53"/>
    <mergeCell ref="B54:E54"/>
    <mergeCell ref="B55:E55"/>
    <mergeCell ref="B56:E56"/>
    <mergeCell ref="B57:E5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78:A96"/>
    <mergeCell ref="B79:E79"/>
    <mergeCell ref="B80:E80"/>
    <mergeCell ref="B81:E81"/>
    <mergeCell ref="A51:A67"/>
    <mergeCell ref="A68:A76"/>
    <mergeCell ref="B58:E58"/>
    <mergeCell ref="B59:E59"/>
    <mergeCell ref="B60:E60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CE4:CF4"/>
    <mergeCell ref="DD4:DE4"/>
    <mergeCell ref="DF4:DG4"/>
    <mergeCell ref="A4:A5"/>
    <mergeCell ref="B4:B5"/>
    <mergeCell ref="C4:C5"/>
    <mergeCell ref="D4:D5"/>
    <mergeCell ref="E4:E5"/>
    <mergeCell ref="F4:F5"/>
    <mergeCell ref="BH4:BS4"/>
    <mergeCell ref="C1:DE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NOV DE 2021</vt:lpstr>
      <vt:lpstr>P. ACCIÓN CONSOL 30 NOV DE 2021</vt:lpstr>
      <vt:lpstr>'P. ACCIÓN A 30 NOV DE 2021'!Títulos_a_imprimir</vt:lpstr>
      <vt:lpstr>'P. ACCIÓN CONSOL 30 NOV DE 2021'!Títulos_a_imprimir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2021-12-29T17:21:56Z</dcterms:created>
  <dcterms:modified xsi:type="dcterms:W3CDTF">2021-12-29T20:05:10Z</dcterms:modified>
</cp:coreProperties>
</file>